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убвенции" sheetId="1" r:id="rId1"/>
    <sheet name="местный бюджет " sheetId="2" r:id="rId2"/>
    <sheet name="родительская плата" sheetId="3" r:id="rId3"/>
    <sheet name="арендная плата (2)" sheetId="4" r:id="rId4"/>
  </sheets>
  <definedNames/>
  <calcPr fullCalcOnLoad="1" refMode="R1C1"/>
</workbook>
</file>

<file path=xl/sharedStrings.xml><?xml version="1.0" encoding="utf-8"?>
<sst xmlns="http://schemas.openxmlformats.org/spreadsheetml/2006/main" count="235" uniqueCount="122">
  <si>
    <t>225 в.т.ч.</t>
  </si>
  <si>
    <t>226 в т.ч.</t>
  </si>
  <si>
    <t>340 в т.ч.</t>
  </si>
  <si>
    <t>ВСЕГО</t>
  </si>
  <si>
    <t xml:space="preserve">310 в т.ч. </t>
  </si>
  <si>
    <t>212 в т.ч.</t>
  </si>
  <si>
    <t>290 в.т.ч.</t>
  </si>
  <si>
    <t>211 в т.ч.</t>
  </si>
  <si>
    <t>оплата труда</t>
  </si>
  <si>
    <t>премия</t>
  </si>
  <si>
    <t>итого</t>
  </si>
  <si>
    <t>январь</t>
  </si>
  <si>
    <t>223 Коммунальные платежи</t>
  </si>
  <si>
    <t>электроэнергия</t>
  </si>
  <si>
    <t>тепловая энергия</t>
  </si>
  <si>
    <t>земельный налог</t>
  </si>
  <si>
    <t>Главный бухгалтер</t>
  </si>
  <si>
    <t>охранные услуги</t>
  </si>
  <si>
    <t>дератизация</t>
  </si>
  <si>
    <t>налог на имущество</t>
  </si>
  <si>
    <t>пени</t>
  </si>
  <si>
    <t>питание</t>
  </si>
  <si>
    <t>Энергетическое обследование</t>
  </si>
  <si>
    <t>ТО пожарной сигнализации</t>
  </si>
  <si>
    <t>обсл пожарной сигнал.</t>
  </si>
  <si>
    <t>медосмотры</t>
  </si>
  <si>
    <t>МБДОУ детский сад "Алёнушка" с.Куйбышево</t>
  </si>
  <si>
    <t>Заведующий</t>
  </si>
  <si>
    <t>И.Л.Саенко</t>
  </si>
  <si>
    <t>февраль</t>
  </si>
  <si>
    <t xml:space="preserve">И.А. Диковенко </t>
  </si>
  <si>
    <t>ЖБО</t>
  </si>
  <si>
    <t>Холодное водоснабжение</t>
  </si>
  <si>
    <t>обслуживание сайта</t>
  </si>
  <si>
    <t>Вывоз ТКО</t>
  </si>
  <si>
    <t>И.А. Диковенко</t>
  </si>
  <si>
    <t>март</t>
  </si>
  <si>
    <t>муз.центр</t>
  </si>
  <si>
    <t>ТО видеонаблюдения</t>
  </si>
  <si>
    <t>Тех.сопровождение Парус</t>
  </si>
  <si>
    <t>Сведение отчетн. Парус</t>
  </si>
  <si>
    <t>хоз.товары</t>
  </si>
  <si>
    <t>апрель</t>
  </si>
  <si>
    <t>май</t>
  </si>
  <si>
    <t>ТО газопровода</t>
  </si>
  <si>
    <t>приобретение ГСМ и хоз.товара (ч/з под отч.)</t>
  </si>
  <si>
    <t>заправка картриджа</t>
  </si>
  <si>
    <t>июнь</t>
  </si>
  <si>
    <t>профиспытание средств защиты</t>
  </si>
  <si>
    <t>профиспытание электрооборудования</t>
  </si>
  <si>
    <t>стройматериалы</t>
  </si>
  <si>
    <t>июль</t>
  </si>
  <si>
    <t>обучение воспитателей</t>
  </si>
  <si>
    <t>август</t>
  </si>
  <si>
    <t xml:space="preserve">Тех. Сопровождение Контур Экстерн </t>
  </si>
  <si>
    <t>налог на прибыль</t>
  </si>
  <si>
    <t>сентябрь</t>
  </si>
  <si>
    <t>гигиеническое обучение</t>
  </si>
  <si>
    <t>октябрь</t>
  </si>
  <si>
    <t>ноябрь</t>
  </si>
  <si>
    <t>канц.товары</t>
  </si>
  <si>
    <t>водогрейка</t>
  </si>
  <si>
    <t>декабрь</t>
  </si>
  <si>
    <t>компьютер</t>
  </si>
  <si>
    <t>ноутбуки</t>
  </si>
  <si>
    <t>МФУ</t>
  </si>
  <si>
    <t>проектор</t>
  </si>
  <si>
    <t>презентационное оборудование</t>
  </si>
  <si>
    <t xml:space="preserve">игрушки </t>
  </si>
  <si>
    <t>костюмы</t>
  </si>
  <si>
    <t>штраф</t>
  </si>
  <si>
    <t xml:space="preserve">обучение </t>
  </si>
  <si>
    <t>дезинсекция (борьба с тараканами)</t>
  </si>
  <si>
    <t>ГСМ</t>
  </si>
  <si>
    <t>дезинсекция борьба с клещами</t>
  </si>
  <si>
    <t>дезинсекция борьба с комарами</t>
  </si>
  <si>
    <t>средства защиты (маски, перчатки)</t>
  </si>
  <si>
    <t>ТО пожарной сигнал.</t>
  </si>
  <si>
    <t>дезинфекционные работы (COVID)</t>
  </si>
  <si>
    <t>моющие и дез.средства</t>
  </si>
  <si>
    <t>книги для детей</t>
  </si>
  <si>
    <t>сосна искусств.</t>
  </si>
  <si>
    <t>метод.литература, наглядные пособия</t>
  </si>
  <si>
    <t>гос.пошлина</t>
  </si>
  <si>
    <t>Информация о расходовании средств субвенций  2021 год</t>
  </si>
  <si>
    <t xml:space="preserve">Информация о расходовании средств местного бюджета  2021 г </t>
  </si>
  <si>
    <t>Информация о расходовании средств из средств от приносящей доход деятельности (родительская плата)  2021 год</t>
  </si>
  <si>
    <t>Информация о расходовании средств из средств от приносящей доход деятельности (арендная плата)  2021 год</t>
  </si>
  <si>
    <t>подписка на периодическое издание</t>
  </si>
  <si>
    <t>стиральная машинка</t>
  </si>
  <si>
    <t xml:space="preserve">                  </t>
  </si>
  <si>
    <t>технадзор (612)</t>
  </si>
  <si>
    <t>услуги по выполнению топосъемки (612)</t>
  </si>
  <si>
    <t>физическая охрана (612)</t>
  </si>
  <si>
    <t>Выполнение работ по ремонту котельной (612)</t>
  </si>
  <si>
    <t>разработка программы энергосбережения (612)</t>
  </si>
  <si>
    <t>право использования Вип Нет</t>
  </si>
  <si>
    <t>опрессовка</t>
  </si>
  <si>
    <t>раскладушки (612)</t>
  </si>
  <si>
    <t>стройматериалы (612)</t>
  </si>
  <si>
    <t>дезинфекция помещения</t>
  </si>
  <si>
    <t>откачка воды</t>
  </si>
  <si>
    <t>присоединение к электрическим сетям (612)</t>
  </si>
  <si>
    <t>монтаж и установка прибора (612)</t>
  </si>
  <si>
    <t>Тревожная сигнализация (612)</t>
  </si>
  <si>
    <t>ремонт крыши (612)</t>
  </si>
  <si>
    <t>За выполнение ПСД (612)</t>
  </si>
  <si>
    <t>СИЗ</t>
  </si>
  <si>
    <t>ТО трев.кнопки</t>
  </si>
  <si>
    <t>услуги автовышки</t>
  </si>
  <si>
    <t>Программное обеспечение 1С</t>
  </si>
  <si>
    <t>программа Питание</t>
  </si>
  <si>
    <t>установка сплит-систем</t>
  </si>
  <si>
    <t>огнетуши тели</t>
  </si>
  <si>
    <t>бесконтакнт.термометр</t>
  </si>
  <si>
    <t>ручн.металлодетектор</t>
  </si>
  <si>
    <t>фартуки</t>
  </si>
  <si>
    <t>речевой оповещатель</t>
  </si>
  <si>
    <t>холодильник</t>
  </si>
  <si>
    <t>сплит-системы</t>
  </si>
  <si>
    <t>шкаф</t>
  </si>
  <si>
    <t>постельное белье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</si>
</sst>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#,##0.0000_р_."/>
    <numFmt numFmtId="186" formatCode="#,##0.0000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83" fontId="5" fillId="0" borderId="10" xfId="0" applyNumberFormat="1" applyFont="1" applyFill="1" applyBorder="1" applyAlignment="1">
      <alignment wrapText="1"/>
    </xf>
    <xf numFmtId="180" fontId="5" fillId="0" borderId="1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3" fontId="5" fillId="33" borderId="11" xfId="0" applyNumberFormat="1" applyFont="1" applyFill="1" applyBorder="1" applyAlignment="1">
      <alignment horizontal="left" wrapText="1"/>
    </xf>
    <xf numFmtId="184" fontId="5" fillId="33" borderId="1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3" fontId="4" fillId="0" borderId="11" xfId="0" applyNumberFormat="1" applyFont="1" applyFill="1" applyBorder="1" applyAlignment="1">
      <alignment horizontal="right" wrapText="1"/>
    </xf>
    <xf numFmtId="184" fontId="4" fillId="0" borderId="11" xfId="0" applyNumberFormat="1" applyFont="1" applyFill="1" applyBorder="1" applyAlignment="1">
      <alignment horizontal="right" wrapText="1"/>
    </xf>
    <xf numFmtId="184" fontId="5" fillId="0" borderId="11" xfId="0" applyNumberFormat="1" applyFont="1" applyFill="1" applyBorder="1" applyAlignment="1">
      <alignment horizontal="right" wrapText="1"/>
    </xf>
    <xf numFmtId="183" fontId="5" fillId="33" borderId="11" xfId="0" applyNumberFormat="1" applyFont="1" applyFill="1" applyBorder="1" applyAlignment="1">
      <alignment wrapText="1"/>
    </xf>
    <xf numFmtId="0" fontId="4" fillId="34" borderId="0" xfId="0" applyFont="1" applyFill="1" applyBorder="1" applyAlignment="1">
      <alignment/>
    </xf>
    <xf numFmtId="183" fontId="4" fillId="0" borderId="0" xfId="0" applyNumberFormat="1" applyFont="1" applyFill="1" applyBorder="1" applyAlignment="1">
      <alignment wrapText="1"/>
    </xf>
    <xf numFmtId="180" fontId="4" fillId="0" borderId="0" xfId="0" applyNumberFormat="1" applyFont="1" applyFill="1" applyBorder="1" applyAlignment="1">
      <alignment/>
    </xf>
    <xf numFmtId="183" fontId="4" fillId="0" borderId="11" xfId="0" applyNumberFormat="1" applyFont="1" applyFill="1" applyBorder="1" applyAlignment="1">
      <alignment horizontal="left" wrapText="1"/>
    </xf>
    <xf numFmtId="18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horizontal="right" wrapText="1"/>
    </xf>
    <xf numFmtId="183" fontId="4" fillId="35" borderId="11" xfId="0" applyNumberFormat="1" applyFont="1" applyFill="1" applyBorder="1" applyAlignment="1">
      <alignment horizontal="right" wrapText="1"/>
    </xf>
    <xf numFmtId="184" fontId="4" fillId="35" borderId="11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33" borderId="11" xfId="0" applyNumberFormat="1" applyFont="1" applyFill="1" applyBorder="1" applyAlignment="1">
      <alignment horizontal="right" wrapText="1"/>
    </xf>
    <xf numFmtId="183" fontId="4" fillId="0" borderId="0" xfId="0" applyNumberFormat="1" applyFont="1" applyFill="1" applyBorder="1" applyAlignment="1">
      <alignment horizontal="center" wrapText="1"/>
    </xf>
    <xf numFmtId="180" fontId="4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06"/>
  <sheetViews>
    <sheetView zoomScalePageLayoutView="0" workbookViewId="0" topLeftCell="A1">
      <selection activeCell="N29" sqref="N29:N30"/>
    </sheetView>
  </sheetViews>
  <sheetFormatPr defaultColWidth="9.140625" defaultRowHeight="12.75"/>
  <cols>
    <col min="1" max="1" width="24.28125" style="15" customWidth="1"/>
    <col min="2" max="4" width="14.57421875" style="15" customWidth="1"/>
    <col min="5" max="5" width="16.57421875" style="15" customWidth="1"/>
    <col min="6" max="10" width="14.57421875" style="15" customWidth="1"/>
    <col min="11" max="11" width="18.421875" style="15" customWidth="1"/>
    <col min="12" max="12" width="14.57421875" style="15" customWidth="1"/>
    <col min="13" max="13" width="16.421875" style="15" customWidth="1"/>
    <col min="14" max="14" width="18.421875" style="16" customWidth="1"/>
    <col min="15" max="16384" width="9.140625" style="1" customWidth="1"/>
  </cols>
  <sheetData>
    <row r="2" spans="1:14" ht="40.5" customHeight="1">
      <c r="A2" s="25" t="s">
        <v>84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4" customHeight="1">
      <c r="A3" s="26" t="s">
        <v>26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25" s="5" customFormat="1" ht="60" customHeight="1">
      <c r="A4" s="2"/>
      <c r="B4" s="2" t="s">
        <v>11</v>
      </c>
      <c r="C4" s="2" t="s">
        <v>29</v>
      </c>
      <c r="D4" s="2" t="s">
        <v>36</v>
      </c>
      <c r="E4" s="2" t="s">
        <v>42</v>
      </c>
      <c r="F4" s="2" t="s">
        <v>43</v>
      </c>
      <c r="G4" s="2" t="s">
        <v>47</v>
      </c>
      <c r="H4" s="2" t="s">
        <v>51</v>
      </c>
      <c r="I4" s="2" t="s">
        <v>53</v>
      </c>
      <c r="J4" s="2" t="s">
        <v>56</v>
      </c>
      <c r="K4" s="2" t="s">
        <v>58</v>
      </c>
      <c r="L4" s="2" t="s">
        <v>59</v>
      </c>
      <c r="M4" s="2" t="s">
        <v>62</v>
      </c>
      <c r="N4" s="3" t="s">
        <v>10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9" customFormat="1" ht="15.75">
      <c r="A5" s="6" t="s">
        <v>7</v>
      </c>
      <c r="B5" s="7">
        <f>B6+B7</f>
        <v>104000</v>
      </c>
      <c r="C5" s="7">
        <f aca="true" t="shared" si="0" ref="C5:H5">C6</f>
        <v>421345.56</v>
      </c>
      <c r="D5" s="7">
        <f t="shared" si="0"/>
        <v>492922.45</v>
      </c>
      <c r="E5" s="7">
        <f t="shared" si="0"/>
        <v>749361.69</v>
      </c>
      <c r="F5" s="7">
        <f t="shared" si="0"/>
        <v>141081.75</v>
      </c>
      <c r="G5" s="7">
        <f t="shared" si="0"/>
        <v>564061.54</v>
      </c>
      <c r="H5" s="7">
        <f t="shared" si="0"/>
        <v>486703.3</v>
      </c>
      <c r="I5" s="7">
        <f>I6</f>
        <v>469693.84</v>
      </c>
      <c r="J5" s="7">
        <f>J6</f>
        <v>419352.08</v>
      </c>
      <c r="K5" s="7">
        <f>K6</f>
        <v>377318.42</v>
      </c>
      <c r="L5" s="7">
        <f>L6</f>
        <v>398118.41</v>
      </c>
      <c r="M5" s="7">
        <f>M6</f>
        <v>1723330.26</v>
      </c>
      <c r="N5" s="7">
        <f>B5+C5+D5+E5+F5+G5+H5+I5+J5+K5+L5+M5</f>
        <v>6347289.3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5.75">
      <c r="A6" s="10" t="s">
        <v>8</v>
      </c>
      <c r="B6" s="11">
        <v>104000</v>
      </c>
      <c r="C6" s="11">
        <v>421345.56</v>
      </c>
      <c r="D6" s="11">
        <v>492922.45</v>
      </c>
      <c r="E6" s="11">
        <v>749361.69</v>
      </c>
      <c r="F6" s="11">
        <v>141081.75</v>
      </c>
      <c r="G6" s="11">
        <v>564061.54</v>
      </c>
      <c r="H6" s="11">
        <v>486703.3</v>
      </c>
      <c r="I6" s="11">
        <v>469693.84</v>
      </c>
      <c r="J6" s="11">
        <v>419352.08</v>
      </c>
      <c r="K6" s="11">
        <v>377318.42</v>
      </c>
      <c r="L6" s="11">
        <v>398118.41</v>
      </c>
      <c r="M6" s="11">
        <v>1723330.26</v>
      </c>
      <c r="N6" s="7">
        <f aca="true" t="shared" si="1" ref="N6:N52">B6+C6+D6+E6+F6+G6+H6+I6+J6+K6+L6+M6</f>
        <v>6347289.3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5.75">
      <c r="A7" s="10" t="s">
        <v>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7">
        <f t="shared" si="1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s="9" customFormat="1" ht="15.75">
      <c r="A8" s="6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>
        <f t="shared" si="1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7">
        <f t="shared" si="1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5.7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7">
        <f t="shared" si="1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5.75">
      <c r="A11" s="6">
        <v>213</v>
      </c>
      <c r="B11" s="7"/>
      <c r="C11" s="7">
        <v>130224.17</v>
      </c>
      <c r="D11" s="7">
        <v>125093.5</v>
      </c>
      <c r="E11" s="7">
        <v>268167.45</v>
      </c>
      <c r="F11" s="7"/>
      <c r="G11" s="7">
        <v>130955.66</v>
      </c>
      <c r="H11" s="7">
        <v>141330.87</v>
      </c>
      <c r="I11" s="7">
        <v>147173.25</v>
      </c>
      <c r="J11" s="7">
        <v>138561.73</v>
      </c>
      <c r="K11" s="7">
        <v>146194.77</v>
      </c>
      <c r="L11" s="7">
        <v>104559.13</v>
      </c>
      <c r="M11" s="7">
        <v>561639.17</v>
      </c>
      <c r="N11" s="7">
        <f t="shared" si="1"/>
        <v>1893899.7000000002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15.75">
      <c r="A12" s="6">
        <v>221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>
        <f t="shared" si="1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21" customHeight="1">
      <c r="A13" s="6">
        <v>222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>
        <f t="shared" si="1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s="9" customFormat="1" ht="46.5" customHeight="1">
      <c r="A14" s="6" t="s">
        <v>12</v>
      </c>
      <c r="B14" s="7">
        <f>B15+B16+B17</f>
        <v>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>
        <f t="shared" si="1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14" s="8" customFormat="1" ht="21" customHeight="1">
      <c r="A15" s="17" t="s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7">
        <f t="shared" si="1"/>
        <v>0</v>
      </c>
    </row>
    <row r="16" spans="1:14" s="8" customFormat="1" ht="21" customHeight="1">
      <c r="A16" s="17" t="s">
        <v>14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7">
        <f t="shared" si="1"/>
        <v>0</v>
      </c>
    </row>
    <row r="17" spans="1:14" s="8" customFormat="1" ht="21" customHeight="1">
      <c r="A17" s="17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7">
        <f t="shared" si="1"/>
        <v>0</v>
      </c>
    </row>
    <row r="18" spans="1:25" s="9" customFormat="1" ht="27" customHeight="1">
      <c r="A18" s="13" t="s">
        <v>0</v>
      </c>
      <c r="B18" s="7">
        <f>B19+B20+B21+B22+B23+B25</f>
        <v>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f t="shared" si="1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.75">
      <c r="A19" s="17" t="s">
        <v>18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">
        <f t="shared" si="1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30.75">
      <c r="A20" s="17" t="s">
        <v>22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">
        <f t="shared" si="1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3.5" customHeight="1">
      <c r="A21" s="17" t="s">
        <v>23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7">
        <f t="shared" si="1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30.75">
      <c r="A22" s="17" t="s">
        <v>24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">
        <f t="shared" si="1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.75">
      <c r="A23" s="1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7">
        <f t="shared" si="1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.75">
      <c r="A24" s="1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7">
        <f t="shared" si="1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.75">
      <c r="A25" s="17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7">
        <f t="shared" si="1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9" customFormat="1" ht="15.75">
      <c r="A26" s="13" t="s">
        <v>1</v>
      </c>
      <c r="B26" s="7">
        <f>B27+B28+B31</f>
        <v>0</v>
      </c>
      <c r="C26" s="7"/>
      <c r="D26" s="7"/>
      <c r="E26" s="7">
        <f>E28</f>
        <v>21101</v>
      </c>
      <c r="F26" s="7">
        <f>F28+F29</f>
        <v>10560</v>
      </c>
      <c r="G26" s="7"/>
      <c r="H26" s="7">
        <f>H29</f>
        <v>0</v>
      </c>
      <c r="I26" s="7"/>
      <c r="J26" s="7"/>
      <c r="K26" s="7">
        <f>K30</f>
        <v>2143782.52</v>
      </c>
      <c r="L26" s="7"/>
      <c r="M26" s="7"/>
      <c r="N26" s="7">
        <f>B26+C26+D26+E26+F26+G26+H26+I26+J26+K26+L26+M26</f>
        <v>2175443.52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14" customFormat="1" ht="15.75">
      <c r="A27" s="17" t="s">
        <v>17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7">
        <f t="shared" si="1"/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4" customFormat="1" ht="15.75">
      <c r="A28" s="17" t="s">
        <v>25</v>
      </c>
      <c r="B28" s="11"/>
      <c r="C28" s="11"/>
      <c r="D28" s="11"/>
      <c r="E28" s="11">
        <v>21101</v>
      </c>
      <c r="F28" s="11">
        <v>5760</v>
      </c>
      <c r="G28" s="11"/>
      <c r="H28" s="11"/>
      <c r="I28" s="11"/>
      <c r="J28" s="11"/>
      <c r="K28" s="11"/>
      <c r="L28" s="11"/>
      <c r="M28" s="11"/>
      <c r="N28" s="7">
        <f t="shared" si="1"/>
        <v>26861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14" customFormat="1" ht="30.75">
      <c r="A29" s="17" t="s">
        <v>52</v>
      </c>
      <c r="B29" s="11"/>
      <c r="C29" s="11"/>
      <c r="D29" s="11"/>
      <c r="E29" s="11"/>
      <c r="F29" s="11">
        <f>1200*2+2400</f>
        <v>4800</v>
      </c>
      <c r="G29" s="11"/>
      <c r="H29" s="11"/>
      <c r="I29" s="11"/>
      <c r="J29" s="11"/>
      <c r="K29" s="11"/>
      <c r="L29" s="11"/>
      <c r="M29" s="11"/>
      <c r="N29" s="7">
        <f t="shared" si="1"/>
        <v>4800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14" customFormat="1" ht="30.75">
      <c r="A30" s="17" t="s">
        <v>106</v>
      </c>
      <c r="B30" s="11"/>
      <c r="C30" s="11"/>
      <c r="D30" s="11"/>
      <c r="E30" s="11"/>
      <c r="F30" s="11"/>
      <c r="G30" s="11"/>
      <c r="H30" s="11"/>
      <c r="I30" s="11"/>
      <c r="J30" s="11"/>
      <c r="K30" s="11">
        <v>2143782.52</v>
      </c>
      <c r="L30" s="11"/>
      <c r="M30" s="11"/>
      <c r="N30" s="7">
        <f t="shared" si="1"/>
        <v>2143782.52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14" customFormat="1" ht="15.75">
      <c r="A31" s="17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7">
        <f t="shared" si="1"/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9" customFormat="1" ht="15.75">
      <c r="A32" s="6">
        <v>262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 t="shared" si="1"/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9" customFormat="1" ht="15.75">
      <c r="A33" s="13" t="s">
        <v>6</v>
      </c>
      <c r="B33" s="7">
        <f>B34+B35+B36</f>
        <v>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>
        <f t="shared" si="1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14" customFormat="1" ht="15.75">
      <c r="A34" s="17" t="s">
        <v>15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7">
        <f t="shared" si="1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14" customFormat="1" ht="15.75">
      <c r="A35" s="17" t="s">
        <v>19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7">
        <f t="shared" si="1"/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14" customFormat="1" ht="15.75">
      <c r="A36" s="17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7">
        <f t="shared" si="1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14" customFormat="1" ht="15.75">
      <c r="A37" s="17" t="s">
        <v>20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7">
        <f t="shared" si="1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9" customFormat="1" ht="15.75">
      <c r="A38" s="6" t="s">
        <v>4</v>
      </c>
      <c r="B38" s="7"/>
      <c r="C38" s="7">
        <f>C39</f>
        <v>0</v>
      </c>
      <c r="D38" s="7"/>
      <c r="E38" s="7"/>
      <c r="F38" s="7"/>
      <c r="G38" s="7"/>
      <c r="H38" s="7"/>
      <c r="I38" s="7"/>
      <c r="J38" s="7"/>
      <c r="K38" s="7"/>
      <c r="L38" s="7"/>
      <c r="M38" s="7">
        <f>M39+M40+M41+M42+M43+M44+M45</f>
        <v>0</v>
      </c>
      <c r="N38" s="7">
        <f>B38+C38+D38+E38+F38+G38+H38+I38+J38+K38+L38+M38</f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14" customFormat="1" ht="15.75">
      <c r="A39" s="10" t="s">
        <v>37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7">
        <f t="shared" si="1"/>
        <v>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s="14" customFormat="1" ht="15.75">
      <c r="A40" s="10" t="s">
        <v>63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7">
        <f t="shared" si="1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s="14" customFormat="1" ht="15.75">
      <c r="A41" s="10" t="s">
        <v>64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7">
        <f t="shared" si="1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s="14" customFormat="1" ht="15.75">
      <c r="A42" s="10" t="s">
        <v>65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7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s="14" customFormat="1" ht="15.75">
      <c r="A43" s="10" t="s">
        <v>66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7">
        <f t="shared" si="1"/>
        <v>0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s="14" customFormat="1" ht="30.75">
      <c r="A44" s="10" t="s">
        <v>67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7">
        <f t="shared" si="1"/>
        <v>0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s="14" customFormat="1" ht="15.75">
      <c r="A45" s="10" t="s">
        <v>81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7">
        <f t="shared" si="1"/>
        <v>0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s="9" customFormat="1" ht="18" customHeight="1">
      <c r="A46" s="13" t="s">
        <v>2</v>
      </c>
      <c r="B46" s="7">
        <f>B49+B51</f>
        <v>0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>
        <f>M47+M48+M49+M51+M50</f>
        <v>42750</v>
      </c>
      <c r="N46" s="7">
        <f t="shared" si="1"/>
        <v>42750</v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s="9" customFormat="1" ht="15.75">
      <c r="A47" s="21" t="s">
        <v>60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2">
        <v>42750</v>
      </c>
      <c r="N47" s="7">
        <f t="shared" si="1"/>
        <v>42750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s="9" customFormat="1" ht="15.75">
      <c r="A48" s="21" t="s">
        <v>68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2"/>
      <c r="N48" s="7">
        <f t="shared" si="1"/>
        <v>0</v>
      </c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15.75">
      <c r="A49" s="10" t="s">
        <v>69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7">
        <f>B49+C49+D49+E49+F49+G49+H49+I49+J49+K49+L49+M49</f>
        <v>0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5.75">
      <c r="A50" s="10" t="s">
        <v>80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7">
        <f>B50+C50+D50+E50+F50+G50+H50+I50+J50+K50+L50+M50</f>
        <v>0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30.75">
      <c r="A51" s="10" t="s">
        <v>82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7">
        <f>B51+C51+D51+E51+F51+G51+H51+I51+J51+K51+L51+M51</f>
        <v>0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s="9" customFormat="1" ht="34.5" customHeight="1">
      <c r="A52" s="13" t="s">
        <v>3</v>
      </c>
      <c r="B52" s="7">
        <f aca="true" t="shared" si="2" ref="B52:M52">B5+B8+B11+B12+B13+B18+B26+B32+B33+B38+B46+B14</f>
        <v>104000</v>
      </c>
      <c r="C52" s="7">
        <f t="shared" si="2"/>
        <v>551569.73</v>
      </c>
      <c r="D52" s="7">
        <f t="shared" si="2"/>
        <v>618015.95</v>
      </c>
      <c r="E52" s="7">
        <f t="shared" si="2"/>
        <v>1038630.1399999999</v>
      </c>
      <c r="F52" s="7">
        <f t="shared" si="2"/>
        <v>151641.75</v>
      </c>
      <c r="G52" s="7">
        <f t="shared" si="2"/>
        <v>695017.2000000001</v>
      </c>
      <c r="H52" s="7">
        <f t="shared" si="2"/>
        <v>628034.1699999999</v>
      </c>
      <c r="I52" s="7">
        <f t="shared" si="2"/>
        <v>616867.0900000001</v>
      </c>
      <c r="J52" s="7">
        <f t="shared" si="2"/>
        <v>557913.81</v>
      </c>
      <c r="K52" s="7">
        <f t="shared" si="2"/>
        <v>2667295.71</v>
      </c>
      <c r="L52" s="7">
        <f t="shared" si="2"/>
        <v>502677.54</v>
      </c>
      <c r="M52" s="7">
        <f t="shared" si="2"/>
        <v>2327719.43</v>
      </c>
      <c r="N52" s="7">
        <f t="shared" si="1"/>
        <v>10459382.52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4" spans="1:14" ht="15">
      <c r="A54" s="15" t="s">
        <v>27</v>
      </c>
      <c r="N54" s="16" t="s">
        <v>28</v>
      </c>
    </row>
    <row r="56" spans="1:14" ht="15">
      <c r="A56" s="15" t="s">
        <v>16</v>
      </c>
      <c r="N56" s="16" t="s">
        <v>30</v>
      </c>
    </row>
    <row r="58" ht="15">
      <c r="N58" s="18"/>
    </row>
    <row r="105" ht="15">
      <c r="G105" s="23"/>
    </row>
    <row r="106" ht="15">
      <c r="G106" s="23">
        <f>46.7+58.6+40.4+58.8+80.6+55.4+64.8+57+66.1+79.1+45.1+66</f>
        <v>718.6</v>
      </c>
    </row>
  </sheetData>
  <sheetProtection/>
  <mergeCells count="2">
    <mergeCell ref="A2:N2"/>
    <mergeCell ref="A3:N3"/>
  </mergeCells>
  <printOptions/>
  <pageMargins left="0.5905511811023623" right="0" top="0.1968503937007874" bottom="0.1968503937007874" header="0.1968503937007874" footer="0.1968503937007874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0"/>
  <sheetViews>
    <sheetView tabSelected="1" zoomScalePageLayoutView="0" workbookViewId="0" topLeftCell="A32">
      <selection activeCell="M79" sqref="M79"/>
    </sheetView>
  </sheetViews>
  <sheetFormatPr defaultColWidth="9.140625" defaultRowHeight="12.75"/>
  <cols>
    <col min="1" max="1" width="26.8515625" style="15" customWidth="1"/>
    <col min="2" max="2" width="15.57421875" style="15" customWidth="1"/>
    <col min="3" max="3" width="15.421875" style="15" customWidth="1"/>
    <col min="4" max="4" width="15.140625" style="15" customWidth="1"/>
    <col min="5" max="5" width="16.140625" style="15" customWidth="1"/>
    <col min="6" max="6" width="15.140625" style="15" customWidth="1"/>
    <col min="7" max="7" width="16.28125" style="15" customWidth="1"/>
    <col min="8" max="8" width="16.7109375" style="15" customWidth="1"/>
    <col min="9" max="9" width="16.421875" style="15" customWidth="1"/>
    <col min="10" max="13" width="17.8515625" style="15" customWidth="1"/>
    <col min="14" max="14" width="19.57421875" style="16" customWidth="1"/>
    <col min="15" max="15" width="9.140625" style="1" customWidth="1"/>
    <col min="16" max="16" width="13.421875" style="1" bestFit="1" customWidth="1"/>
    <col min="17" max="17" width="10.8515625" style="1" bestFit="1" customWidth="1"/>
    <col min="18" max="16384" width="9.140625" style="1" customWidth="1"/>
  </cols>
  <sheetData>
    <row r="1" spans="1:14" ht="48" customHeight="1">
      <c r="A1" s="25" t="s">
        <v>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4" customHeight="1">
      <c r="A2" s="26" t="str">
        <f>субвенции!A3</f>
        <v>МБДОУ детский сад "Алёнушка" с.Куйбышево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25" s="5" customFormat="1" ht="60" customHeight="1">
      <c r="A3" s="2"/>
      <c r="B3" s="2" t="s">
        <v>11</v>
      </c>
      <c r="C3" s="2" t="s">
        <v>29</v>
      </c>
      <c r="D3" s="2" t="s">
        <v>36</v>
      </c>
      <c r="E3" s="2" t="s">
        <v>42</v>
      </c>
      <c r="F3" s="2" t="s">
        <v>43</v>
      </c>
      <c r="G3" s="2" t="s">
        <v>47</v>
      </c>
      <c r="H3" s="2" t="s">
        <v>51</v>
      </c>
      <c r="I3" s="2" t="s">
        <v>53</v>
      </c>
      <c r="J3" s="2" t="s">
        <v>56</v>
      </c>
      <c r="K3" s="2" t="s">
        <v>58</v>
      </c>
      <c r="L3" s="2" t="s">
        <v>59</v>
      </c>
      <c r="M3" s="2" t="s">
        <v>62</v>
      </c>
      <c r="N3" s="3" t="s">
        <v>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15.75">
      <c r="A4" s="6" t="s">
        <v>7</v>
      </c>
      <c r="B4" s="7">
        <f>B5+B6</f>
        <v>62500</v>
      </c>
      <c r="C4" s="7">
        <f aca="true" t="shared" si="0" ref="C4:H4">C5</f>
        <v>201250.05</v>
      </c>
      <c r="D4" s="7">
        <f t="shared" si="0"/>
        <v>235466.45</v>
      </c>
      <c r="E4" s="7">
        <f t="shared" si="0"/>
        <v>321322.74</v>
      </c>
      <c r="F4" s="7">
        <f t="shared" si="0"/>
        <v>82072.08</v>
      </c>
      <c r="G4" s="7">
        <f t="shared" si="0"/>
        <v>212242.72</v>
      </c>
      <c r="H4" s="7">
        <f t="shared" si="0"/>
        <v>240102.92</v>
      </c>
      <c r="I4" s="7">
        <f>I5</f>
        <v>238928.54</v>
      </c>
      <c r="J4" s="7">
        <f>J5</f>
        <v>190417.39</v>
      </c>
      <c r="K4" s="7">
        <f>K5</f>
        <v>206769.27</v>
      </c>
      <c r="L4" s="7">
        <f>L5</f>
        <v>219501.85</v>
      </c>
      <c r="M4" s="7">
        <f>M5</f>
        <v>401123.26</v>
      </c>
      <c r="N4" s="7">
        <f>B4+C4+D4+E4+F4+G4+H4+I4+J4+K4+L4+M4</f>
        <v>2611697.2700000005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15.75">
      <c r="A5" s="10" t="s">
        <v>8</v>
      </c>
      <c r="B5" s="11">
        <v>62500</v>
      </c>
      <c r="C5" s="11">
        <v>201250.05</v>
      </c>
      <c r="D5" s="11">
        <v>235466.45</v>
      </c>
      <c r="E5" s="11">
        <v>321322.74</v>
      </c>
      <c r="F5" s="11">
        <v>82072.08</v>
      </c>
      <c r="G5" s="11">
        <v>212242.72</v>
      </c>
      <c r="H5" s="11">
        <v>240102.92</v>
      </c>
      <c r="I5" s="11">
        <v>238928.54</v>
      </c>
      <c r="J5" s="11">
        <v>190417.39</v>
      </c>
      <c r="K5" s="11">
        <v>206769.27</v>
      </c>
      <c r="L5" s="11">
        <v>219501.85</v>
      </c>
      <c r="M5" s="11">
        <v>401123.26</v>
      </c>
      <c r="N5" s="7">
        <f aca="true" t="shared" si="1" ref="N5:N87">B5+C5+D5+E5+F5+G5+H5+I5+J5+K5+L5+M5</f>
        <v>2611697.2700000005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7">
        <f t="shared" si="1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5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 t="shared" si="1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7">
        <f t="shared" si="1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7">
        <f t="shared" si="1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ht="15.75">
      <c r="A10" s="6">
        <v>213</v>
      </c>
      <c r="B10" s="7"/>
      <c r="C10" s="7">
        <v>59552.57</v>
      </c>
      <c r="D10" s="7">
        <v>59759.94</v>
      </c>
      <c r="E10" s="7">
        <v>126914.8</v>
      </c>
      <c r="F10" s="7"/>
      <c r="G10" s="7">
        <v>63574.3</v>
      </c>
      <c r="H10" s="7">
        <v>63005.59</v>
      </c>
      <c r="I10" s="7">
        <v>72361.78</v>
      </c>
      <c r="J10" s="7">
        <v>70424.69</v>
      </c>
      <c r="K10" s="7">
        <v>68657.89</v>
      </c>
      <c r="L10" s="7">
        <v>58038</v>
      </c>
      <c r="M10" s="7">
        <v>142213.17</v>
      </c>
      <c r="N10" s="7">
        <f t="shared" si="1"/>
        <v>784502.73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5.75">
      <c r="A11" s="6">
        <v>221</v>
      </c>
      <c r="B11" s="7">
        <v>0</v>
      </c>
      <c r="C11" s="7">
        <v>4243.01</v>
      </c>
      <c r="D11" s="7">
        <v>4294.99</v>
      </c>
      <c r="E11" s="7">
        <v>4276.85</v>
      </c>
      <c r="F11" s="7">
        <v>4334.83</v>
      </c>
      <c r="G11" s="7">
        <v>4295.9</v>
      </c>
      <c r="H11" s="7">
        <v>4288.66</v>
      </c>
      <c r="I11" s="7">
        <v>4404.04</v>
      </c>
      <c r="J11" s="7">
        <v>4303.48</v>
      </c>
      <c r="K11" s="7">
        <f>618.28+3720</f>
        <v>4338.28</v>
      </c>
      <c r="L11" s="7">
        <f>602.88+3720</f>
        <v>4322.88</v>
      </c>
      <c r="M11" s="7">
        <f>493.39+3720*2+98.68+535.41</f>
        <v>8567.480000000001</v>
      </c>
      <c r="N11" s="7">
        <f t="shared" si="1"/>
        <v>51670.4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21" customHeight="1">
      <c r="A12" s="6">
        <v>222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>
        <f t="shared" si="1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46.5" customHeight="1">
      <c r="A13" s="6" t="s">
        <v>12</v>
      </c>
      <c r="B13" s="7">
        <f>B14+B15+B18</f>
        <v>25896.38</v>
      </c>
      <c r="C13" s="7">
        <f aca="true" t="shared" si="2" ref="C13:I13">C14+C15+C16+C17+C18</f>
        <v>166312.31999999998</v>
      </c>
      <c r="D13" s="7">
        <f t="shared" si="2"/>
        <v>164281.61</v>
      </c>
      <c r="E13" s="7">
        <f t="shared" si="2"/>
        <v>202364.56999999998</v>
      </c>
      <c r="F13" s="7">
        <f t="shared" si="2"/>
        <v>159859.27</v>
      </c>
      <c r="G13" s="7">
        <f t="shared" si="2"/>
        <v>52621.82000000001</v>
      </c>
      <c r="H13" s="7">
        <f t="shared" si="2"/>
        <v>74411.96</v>
      </c>
      <c r="I13" s="7">
        <f t="shared" si="2"/>
        <v>52830.9</v>
      </c>
      <c r="J13" s="7">
        <f>J14+J15+J16+J17+J18</f>
        <v>62817.9</v>
      </c>
      <c r="K13" s="7">
        <f>K14+K15+K16+K17+K18</f>
        <v>68231.98</v>
      </c>
      <c r="L13" s="7">
        <f>L14+L15+L16+L17+L18</f>
        <v>128194.94</v>
      </c>
      <c r="M13" s="7">
        <f>M14+M15+M16+M17+M18</f>
        <v>320772.39999999997</v>
      </c>
      <c r="N13" s="7">
        <f>B13+C13+D13+E13+F13+G13+H13+I13+J13+K13+L13+M13</f>
        <v>1478596.0499999998</v>
      </c>
      <c r="O13" s="8"/>
      <c r="P13" s="19"/>
      <c r="Q13" s="19"/>
      <c r="R13" s="8"/>
      <c r="S13" s="8"/>
      <c r="T13" s="8"/>
      <c r="U13" s="8"/>
      <c r="V13" s="8"/>
      <c r="W13" s="8"/>
      <c r="X13" s="8"/>
      <c r="Y13" s="8"/>
    </row>
    <row r="14" spans="1:16" s="8" customFormat="1" ht="21" customHeight="1">
      <c r="A14" s="17" t="s">
        <v>13</v>
      </c>
      <c r="B14" s="22">
        <v>25896.38</v>
      </c>
      <c r="C14" s="22">
        <f>11902.16+562.38+10578.2</f>
        <v>23042.739999999998</v>
      </c>
      <c r="D14" s="22">
        <f>7933.66+11447.31+13571.06</f>
        <v>32952.03</v>
      </c>
      <c r="E14" s="22">
        <f>10638.17+14184.19+10178.3+13955.83</f>
        <v>48956.490000000005</v>
      </c>
      <c r="F14" s="22">
        <f>8661.21+13209.48</f>
        <v>21870.69</v>
      </c>
      <c r="G14" s="22">
        <f>9907.1+7124.12+14092.02</f>
        <v>31123.24</v>
      </c>
      <c r="H14" s="22">
        <f>10890.01+13414.18+4845.93+6707.36</f>
        <v>35857.48</v>
      </c>
      <c r="I14" s="22">
        <f>10060.63+1141.27+18906.88</f>
        <v>30108.78</v>
      </c>
      <c r="J14" s="20">
        <f>14180.15+1873.49+16482.8</f>
        <v>32536.44</v>
      </c>
      <c r="K14" s="20">
        <f>12362.1+8829+15796.78</f>
        <v>36987.88</v>
      </c>
      <c r="L14" s="20">
        <f>11847.59+14425.82+7905.67</f>
        <v>34179.08</v>
      </c>
      <c r="M14" s="20">
        <f>20272.13+17310.98+11267.57+6330</f>
        <v>55180.68</v>
      </c>
      <c r="N14" s="7">
        <f t="shared" si="1"/>
        <v>408691.91</v>
      </c>
      <c r="P14" s="18"/>
    </row>
    <row r="15" spans="1:14" s="8" customFormat="1" ht="21" customHeight="1">
      <c r="A15" s="17" t="s">
        <v>14</v>
      </c>
      <c r="B15" s="22"/>
      <c r="C15" s="22">
        <v>123330</v>
      </c>
      <c r="D15" s="22">
        <v>111390</v>
      </c>
      <c r="E15" s="22">
        <v>123330</v>
      </c>
      <c r="F15" s="22">
        <v>119349</v>
      </c>
      <c r="G15" s="22"/>
      <c r="H15" s="22"/>
      <c r="I15" s="22"/>
      <c r="J15" s="20"/>
      <c r="K15" s="20"/>
      <c r="L15" s="20">
        <v>71935.5</v>
      </c>
      <c r="M15" s="20">
        <f>125380.5+94045</f>
        <v>219425.5</v>
      </c>
      <c r="N15" s="7">
        <f t="shared" si="1"/>
        <v>768760</v>
      </c>
    </row>
    <row r="16" spans="1:14" s="8" customFormat="1" ht="21" customHeight="1">
      <c r="A16" s="17" t="s">
        <v>31</v>
      </c>
      <c r="B16" s="22"/>
      <c r="C16" s="22">
        <v>15600</v>
      </c>
      <c r="D16" s="22">
        <f>7800*2</f>
        <v>15600</v>
      </c>
      <c r="E16" s="22">
        <f>15600+7800</f>
        <v>23400</v>
      </c>
      <c r="F16" s="22">
        <v>14300</v>
      </c>
      <c r="G16" s="22">
        <f>15600</f>
        <v>15600</v>
      </c>
      <c r="H16" s="22">
        <f>16900+15600</f>
        <v>32500</v>
      </c>
      <c r="I16" s="22">
        <f>7800*2</f>
        <v>15600</v>
      </c>
      <c r="J16" s="20">
        <f>7800+15600</f>
        <v>23400</v>
      </c>
      <c r="K16" s="20">
        <f>7800+15600</f>
        <v>23400</v>
      </c>
      <c r="L16" s="20">
        <f>2*7800</f>
        <v>15600</v>
      </c>
      <c r="M16" s="20">
        <f>2*7800+15600</f>
        <v>31200</v>
      </c>
      <c r="N16" s="7">
        <f t="shared" si="1"/>
        <v>226200</v>
      </c>
    </row>
    <row r="17" spans="1:16" s="8" customFormat="1" ht="30" customHeight="1">
      <c r="A17" s="17" t="s">
        <v>32</v>
      </c>
      <c r="B17" s="22"/>
      <c r="C17" s="22">
        <v>2728.25</v>
      </c>
      <c r="D17" s="22">
        <v>2728.25</v>
      </c>
      <c r="E17" s="22">
        <v>5066.75</v>
      </c>
      <c r="F17" s="22">
        <v>2728.25</v>
      </c>
      <c r="G17" s="22">
        <v>4287.25</v>
      </c>
      <c r="H17" s="22">
        <v>4443.15</v>
      </c>
      <c r="I17" s="22">
        <v>4652.76</v>
      </c>
      <c r="J17" s="20">
        <v>4412.1</v>
      </c>
      <c r="K17" s="20">
        <v>5374.74</v>
      </c>
      <c r="L17" s="20">
        <v>4011</v>
      </c>
      <c r="M17" s="20">
        <f>4813.2+5214.3</f>
        <v>10027.5</v>
      </c>
      <c r="N17" s="7">
        <f t="shared" si="1"/>
        <v>50460</v>
      </c>
      <c r="P17" s="19"/>
    </row>
    <row r="18" spans="1:16" s="8" customFormat="1" ht="21" customHeight="1">
      <c r="A18" s="17" t="s">
        <v>34</v>
      </c>
      <c r="B18" s="22"/>
      <c r="C18" s="22">
        <v>1611.33</v>
      </c>
      <c r="D18" s="22">
        <v>1611.33</v>
      </c>
      <c r="E18" s="22">
        <v>1611.33</v>
      </c>
      <c r="F18" s="22">
        <v>1611.33</v>
      </c>
      <c r="G18" s="22">
        <v>1611.33</v>
      </c>
      <c r="H18" s="22">
        <v>1611.33</v>
      </c>
      <c r="I18" s="22">
        <v>2469.36</v>
      </c>
      <c r="J18" s="20">
        <v>2469.36</v>
      </c>
      <c r="K18" s="20">
        <v>2469.36</v>
      </c>
      <c r="L18" s="20">
        <v>2469.36</v>
      </c>
      <c r="M18" s="20">
        <f>2469.36*2</f>
        <v>4938.72</v>
      </c>
      <c r="N18" s="7">
        <f t="shared" si="1"/>
        <v>24484.140000000003</v>
      </c>
      <c r="P18" s="19"/>
    </row>
    <row r="19" spans="1:16" s="8" customFormat="1" ht="21" customHeight="1">
      <c r="A19" s="1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7">
        <f t="shared" si="1"/>
        <v>0</v>
      </c>
      <c r="P19" s="19"/>
    </row>
    <row r="20" spans="1:25" s="9" customFormat="1" ht="27" customHeight="1">
      <c r="A20" s="13" t="s">
        <v>0</v>
      </c>
      <c r="B20" s="7">
        <f>B21+B22+B23+B24+B25+B27</f>
        <v>0</v>
      </c>
      <c r="C20" s="7">
        <f>C21+C22+C23+C24+C25</f>
        <v>36546.8</v>
      </c>
      <c r="D20" s="7">
        <f>D21+D22+D23+D24+D25</f>
        <v>14559.6</v>
      </c>
      <c r="E20" s="7">
        <f>E21+E22+E23+E24+E25</f>
        <v>8698.8</v>
      </c>
      <c r="F20" s="7">
        <f>F21+F22+F26+F27+F23+F24+F25</f>
        <v>10888.8</v>
      </c>
      <c r="G20" s="7">
        <f>G21+G22+G23+G24+G25+G26+G27</f>
        <v>15668.4</v>
      </c>
      <c r="H20" s="7">
        <f>H21+H22+H23+H24+H25+H26+H27</f>
        <v>20392.8</v>
      </c>
      <c r="I20" s="7">
        <f>I21+I22+I23+I24+I25+I26</f>
        <v>30332.399999999998</v>
      </c>
      <c r="J20" s="7">
        <f>J21+J22+J23+J24+J25+J26+J27</f>
        <v>11262</v>
      </c>
      <c r="K20" s="7">
        <f>K21+K22+K23+K24+K25+K26+K27</f>
        <v>31167.6</v>
      </c>
      <c r="L20" s="7">
        <f>L21+L22+L23+L24+L25+L26+L27</f>
        <v>20392.8</v>
      </c>
      <c r="M20" s="7">
        <f>M21+M22+M23+M24+M25+M26+M27</f>
        <v>27639.6</v>
      </c>
      <c r="N20" s="7">
        <f>B20+C20+D20+E20+F20+G20+H20+I20+J20+K20+L20+M20</f>
        <v>227549.6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.75">
      <c r="A21" s="17" t="s">
        <v>18</v>
      </c>
      <c r="B21" s="11"/>
      <c r="C21" s="11">
        <v>2838</v>
      </c>
      <c r="D21" s="11">
        <v>2838</v>
      </c>
      <c r="E21" s="11">
        <v>2838</v>
      </c>
      <c r="F21" s="11">
        <v>2838</v>
      </c>
      <c r="G21" s="11">
        <v>3138</v>
      </c>
      <c r="H21" s="11">
        <v>3138</v>
      </c>
      <c r="I21" s="11">
        <v>3138</v>
      </c>
      <c r="J21" s="11">
        <v>3138</v>
      </c>
      <c r="K21" s="11">
        <v>3138</v>
      </c>
      <c r="L21" s="11">
        <v>3138</v>
      </c>
      <c r="M21" s="11">
        <f>2*2838</f>
        <v>5676</v>
      </c>
      <c r="N21" s="7">
        <f t="shared" si="1"/>
        <v>35856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30.75">
      <c r="A22" s="17" t="s">
        <v>78</v>
      </c>
      <c r="B22" s="11"/>
      <c r="C22" s="11">
        <f>9200+18360</f>
        <v>27560</v>
      </c>
      <c r="D22" s="11"/>
      <c r="E22" s="11"/>
      <c r="F22" s="11"/>
      <c r="G22" s="11"/>
      <c r="H22" s="11">
        <f>7650</f>
        <v>7650</v>
      </c>
      <c r="I22" s="11">
        <f>2*7650</f>
        <v>15300</v>
      </c>
      <c r="J22" s="11"/>
      <c r="K22" s="11">
        <f>4914+7650</f>
        <v>12564</v>
      </c>
      <c r="L22" s="11">
        <v>7650</v>
      </c>
      <c r="M22" s="11">
        <v>2754</v>
      </c>
      <c r="N22" s="7">
        <f t="shared" si="1"/>
        <v>73478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30.75" customHeight="1">
      <c r="A23" s="17" t="s">
        <v>100</v>
      </c>
      <c r="B23" s="11"/>
      <c r="C23" s="11"/>
      <c r="D23" s="11"/>
      <c r="E23" s="11"/>
      <c r="F23" s="11"/>
      <c r="G23" s="11"/>
      <c r="H23" s="11"/>
      <c r="I23" s="11">
        <v>2289.6</v>
      </c>
      <c r="J23" s="11"/>
      <c r="K23" s="11"/>
      <c r="L23" s="11"/>
      <c r="M23" s="11"/>
      <c r="N23" s="7">
        <f t="shared" si="1"/>
        <v>2289.6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.75">
      <c r="A24" s="17" t="s">
        <v>77</v>
      </c>
      <c r="B24" s="11"/>
      <c r="C24" s="11"/>
      <c r="D24" s="11">
        <f>2*5860.8</f>
        <v>11721.6</v>
      </c>
      <c r="E24" s="11">
        <v>5860.8</v>
      </c>
      <c r="F24" s="11">
        <v>5860.8</v>
      </c>
      <c r="G24" s="11">
        <v>5860.8</v>
      </c>
      <c r="H24" s="11">
        <v>5860.8</v>
      </c>
      <c r="I24" s="11">
        <v>5860.8</v>
      </c>
      <c r="J24" s="11"/>
      <c r="K24" s="11">
        <f>5860.8*2</f>
        <v>11721.6</v>
      </c>
      <c r="L24" s="11">
        <v>5860.8</v>
      </c>
      <c r="M24" s="11">
        <v>11721.6</v>
      </c>
      <c r="N24" s="7">
        <f t="shared" si="1"/>
        <v>70329.6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30.75">
      <c r="A25" s="17" t="s">
        <v>72</v>
      </c>
      <c r="B25" s="11"/>
      <c r="C25" s="11">
        <v>6148.8</v>
      </c>
      <c r="D25" s="11"/>
      <c r="E25" s="11"/>
      <c r="F25" s="11"/>
      <c r="G25" s="11"/>
      <c r="H25" s="11">
        <v>3744</v>
      </c>
      <c r="I25" s="11">
        <v>3744</v>
      </c>
      <c r="J25" s="11">
        <v>3744</v>
      </c>
      <c r="K25" s="11">
        <v>3744</v>
      </c>
      <c r="L25" s="11">
        <v>3744</v>
      </c>
      <c r="M25" s="11">
        <f>2*3744</f>
        <v>7488</v>
      </c>
      <c r="N25" s="7">
        <f t="shared" si="1"/>
        <v>32356.8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30.75">
      <c r="A26" s="17" t="s">
        <v>74</v>
      </c>
      <c r="B26" s="11"/>
      <c r="C26" s="11"/>
      <c r="D26" s="11"/>
      <c r="E26" s="11"/>
      <c r="F26" s="11">
        <v>2190</v>
      </c>
      <c r="G26" s="11">
        <v>2190</v>
      </c>
      <c r="H26" s="11"/>
      <c r="I26" s="11"/>
      <c r="J26" s="11">
        <v>2190</v>
      </c>
      <c r="K26" s="11"/>
      <c r="L26" s="11"/>
      <c r="M26" s="11"/>
      <c r="N26" s="7">
        <f t="shared" si="1"/>
        <v>6570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30.75">
      <c r="A27" s="17" t="s">
        <v>75</v>
      </c>
      <c r="B27" s="11"/>
      <c r="C27" s="11"/>
      <c r="D27" s="11"/>
      <c r="E27" s="11"/>
      <c r="F27" s="11">
        <v>0</v>
      </c>
      <c r="G27" s="11">
        <f>2289.6+2190</f>
        <v>4479.6</v>
      </c>
      <c r="H27" s="11"/>
      <c r="I27" s="11"/>
      <c r="J27" s="11">
        <v>2190</v>
      </c>
      <c r="K27" s="11"/>
      <c r="L27" s="11"/>
      <c r="M27" s="11"/>
      <c r="N27" s="7">
        <f t="shared" si="1"/>
        <v>6669.6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9" customFormat="1" ht="15.75">
      <c r="A28" s="13" t="s">
        <v>1</v>
      </c>
      <c r="B28" s="7">
        <f>B29+B30+B46</f>
        <v>0</v>
      </c>
      <c r="C28" s="7">
        <f>C29+C30+C32+C33+C45</f>
        <v>6500</v>
      </c>
      <c r="D28" s="7">
        <f>D29+D30+D32+D33+D45+D48+D49+D34</f>
        <v>114610</v>
      </c>
      <c r="E28" s="7">
        <f>E29+E30+E32+E33+E45+E48+E49+E34</f>
        <v>51680</v>
      </c>
      <c r="F28" s="7">
        <f>F30+F29+F32+F33+F46+F49</f>
        <v>91473.45999999999</v>
      </c>
      <c r="G28" s="7">
        <f>G29+G30+G32+G33+G34+G35+G36+G46+G37+G38+G39+G47+G48+G49+G50+G51+G52+G53+G55+G41</f>
        <v>153980.46</v>
      </c>
      <c r="H28" s="7">
        <f>H40+H29+H30+H32+H33+H34+H35+H36+H46+H37+H38+H39+H47+H48+H49+H50+H51+H52+H53+H55+H41</f>
        <v>41299</v>
      </c>
      <c r="I28" s="7">
        <f>I29+I30+I32+I33+I34+I35+I36+I46+I37+I38+I39+I47+I48+I49+I50+I51+I52+I53+I55+I41+I54+I45</f>
        <v>92394.6</v>
      </c>
      <c r="J28" s="7">
        <f>J29+J30+J32+J33+J34+J35+J36+J46+J37+J38+J39+J47+J48+J49+J50+J51+J52+J53+J55+J41+J56+J57+9460</f>
        <v>55930</v>
      </c>
      <c r="K28" s="7">
        <f>K29+K30+K32+K33+K34+K35+K36+K46+K37+K38+K39+K47+K48+K49+K50+K51+K52+K53+K55+K41+K54+K57+K58</f>
        <v>388986.26</v>
      </c>
      <c r="L28" s="7">
        <f>L29+L30+L32+L33+L34+L35+L36+L46+L37+L38+L39+L47+L48+L49+L50+L51+L52+L53+L55+L41+L43</f>
        <v>50848</v>
      </c>
      <c r="M28" s="7">
        <f>M29+M30+M31+M49+M32+M33+M34+M35+M36+M37+M38+M39+M40+M44+M45+M48+M52+M53+M58+M51+M42+M56</f>
        <v>152845</v>
      </c>
      <c r="N28" s="7">
        <f>B28+C28+D28+E28+F28+G28+H28+I28+J28+K28+L28+M28</f>
        <v>1200546.7799999998</v>
      </c>
      <c r="O28" s="8"/>
      <c r="P28" s="19"/>
      <c r="Q28" s="8"/>
      <c r="R28" s="8"/>
      <c r="S28" s="8"/>
      <c r="T28" s="8"/>
      <c r="U28" s="8"/>
      <c r="V28" s="8"/>
      <c r="W28" s="8"/>
      <c r="X28" s="8"/>
      <c r="Y28" s="8"/>
    </row>
    <row r="29" spans="1:25" s="14" customFormat="1" ht="15.75">
      <c r="A29" s="17" t="s">
        <v>17</v>
      </c>
      <c r="B29" s="11"/>
      <c r="C29" s="11"/>
      <c r="D29" s="11">
        <f>2*3500</f>
        <v>7000</v>
      </c>
      <c r="E29" s="11">
        <v>3500</v>
      </c>
      <c r="F29" s="11">
        <v>3500</v>
      </c>
      <c r="G29" s="11">
        <v>3500</v>
      </c>
      <c r="H29" s="11">
        <v>3500</v>
      </c>
      <c r="I29" s="11">
        <v>3500</v>
      </c>
      <c r="J29" s="11"/>
      <c r="K29" s="11">
        <f>2*3500+2708</f>
        <v>9708</v>
      </c>
      <c r="L29" s="11">
        <v>2708</v>
      </c>
      <c r="M29" s="11">
        <f>2708</f>
        <v>2708</v>
      </c>
      <c r="N29" s="7">
        <f t="shared" si="1"/>
        <v>39624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14" customFormat="1" ht="15.75">
      <c r="A30" s="17" t="s">
        <v>25</v>
      </c>
      <c r="B30" s="11"/>
      <c r="C30" s="11"/>
      <c r="D30" s="11"/>
      <c r="E30" s="11"/>
      <c r="F30" s="11">
        <f>35575+9120</f>
        <v>44695</v>
      </c>
      <c r="G30" s="11"/>
      <c r="H30" s="11"/>
      <c r="I30" s="11"/>
      <c r="J30" s="11"/>
      <c r="K30" s="11"/>
      <c r="L30" s="11"/>
      <c r="M30" s="11">
        <f>2146+886+907+700</f>
        <v>4639</v>
      </c>
      <c r="N30" s="7">
        <f t="shared" si="1"/>
        <v>49334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14" customFormat="1" ht="15.75">
      <c r="A31" s="17" t="s">
        <v>57</v>
      </c>
      <c r="B31" s="11"/>
      <c r="C31" s="11"/>
      <c r="D31" s="11"/>
      <c r="E31" s="11"/>
      <c r="F31" s="11"/>
      <c r="G31" s="11"/>
      <c r="H31" s="11"/>
      <c r="I31" s="11"/>
      <c r="J31" s="11">
        <v>9460</v>
      </c>
      <c r="K31" s="11"/>
      <c r="L31" s="11"/>
      <c r="M31" s="11"/>
      <c r="N31" s="7">
        <f t="shared" si="1"/>
        <v>9460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14" customFormat="1" ht="15.75">
      <c r="A32" s="17" t="s">
        <v>33</v>
      </c>
      <c r="B32" s="11"/>
      <c r="C32" s="11"/>
      <c r="D32" s="11">
        <f>2*1000</f>
        <v>2000</v>
      </c>
      <c r="E32" s="11">
        <v>1000</v>
      </c>
      <c r="F32" s="11">
        <v>1000</v>
      </c>
      <c r="G32" s="11">
        <v>1000</v>
      </c>
      <c r="H32" s="11">
        <v>1000</v>
      </c>
      <c r="I32" s="11">
        <v>1000</v>
      </c>
      <c r="J32" s="11">
        <v>1000</v>
      </c>
      <c r="K32" s="11">
        <v>1000</v>
      </c>
      <c r="L32" s="11">
        <v>1000</v>
      </c>
      <c r="M32" s="11">
        <v>2000</v>
      </c>
      <c r="N32" s="7">
        <f t="shared" si="1"/>
        <v>12000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14" customFormat="1" ht="15.75">
      <c r="A33" s="17" t="s">
        <v>71</v>
      </c>
      <c r="B33" s="11"/>
      <c r="C33" s="11">
        <v>6500</v>
      </c>
      <c r="D33" s="11"/>
      <c r="E33" s="11">
        <v>1200</v>
      </c>
      <c r="F33" s="11">
        <v>2400</v>
      </c>
      <c r="G33" s="11"/>
      <c r="H33" s="11"/>
      <c r="I33" s="11"/>
      <c r="J33" s="11"/>
      <c r="K33" s="11"/>
      <c r="L33" s="11"/>
      <c r="M33" s="11"/>
      <c r="N33" s="7">
        <f t="shared" si="1"/>
        <v>10100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14" customFormat="1" ht="15.75">
      <c r="A34" s="17" t="s">
        <v>38</v>
      </c>
      <c r="B34" s="11"/>
      <c r="C34" s="11"/>
      <c r="D34" s="11">
        <v>5000</v>
      </c>
      <c r="E34" s="11"/>
      <c r="F34" s="11"/>
      <c r="G34" s="11">
        <v>5000</v>
      </c>
      <c r="H34" s="11"/>
      <c r="I34" s="11"/>
      <c r="J34" s="11"/>
      <c r="K34" s="11">
        <v>5000</v>
      </c>
      <c r="L34" s="11"/>
      <c r="M34" s="11">
        <v>5000</v>
      </c>
      <c r="N34" s="7">
        <f t="shared" si="1"/>
        <v>20000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14" customFormat="1" ht="30.75">
      <c r="A35" s="17" t="s">
        <v>39</v>
      </c>
      <c r="B35" s="11"/>
      <c r="C35" s="11"/>
      <c r="D35" s="11"/>
      <c r="E35" s="11"/>
      <c r="F35" s="11"/>
      <c r="G35" s="11"/>
      <c r="H35" s="11"/>
      <c r="I35" s="11"/>
      <c r="J35" s="11"/>
      <c r="K35" s="11">
        <v>6290</v>
      </c>
      <c r="L35" s="11"/>
      <c r="M35" s="11">
        <v>15850</v>
      </c>
      <c r="N35" s="7">
        <f t="shared" si="1"/>
        <v>22140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14" customFormat="1" ht="30.75">
      <c r="A36" s="17" t="s">
        <v>40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>
        <v>7580</v>
      </c>
      <c r="M36" s="11"/>
      <c r="N36" s="7">
        <f t="shared" si="1"/>
        <v>7580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14" customFormat="1" ht="30.75">
      <c r="A37" s="17" t="s">
        <v>48</v>
      </c>
      <c r="B37" s="11"/>
      <c r="C37" s="11"/>
      <c r="D37" s="11"/>
      <c r="E37" s="11"/>
      <c r="F37" s="11"/>
      <c r="G37" s="11"/>
      <c r="H37" s="11">
        <v>2500</v>
      </c>
      <c r="I37" s="11"/>
      <c r="J37" s="11"/>
      <c r="K37" s="11"/>
      <c r="L37" s="11"/>
      <c r="M37" s="11"/>
      <c r="N37" s="7">
        <f t="shared" si="1"/>
        <v>2500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14" customFormat="1" ht="30.75">
      <c r="A38" s="17" t="s">
        <v>49</v>
      </c>
      <c r="B38" s="11"/>
      <c r="C38" s="11"/>
      <c r="D38" s="11"/>
      <c r="E38" s="11"/>
      <c r="F38" s="11"/>
      <c r="G38" s="11"/>
      <c r="H38" s="11">
        <v>6249</v>
      </c>
      <c r="I38" s="11"/>
      <c r="J38" s="11"/>
      <c r="K38" s="11"/>
      <c r="L38" s="11"/>
      <c r="M38" s="11"/>
      <c r="N38" s="7">
        <f t="shared" si="1"/>
        <v>6249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14" customFormat="1" ht="15.75">
      <c r="A39" s="17" t="s">
        <v>109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>
        <v>4800</v>
      </c>
      <c r="N39" s="7">
        <f t="shared" si="1"/>
        <v>4800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s="14" customFormat="1" ht="30.75">
      <c r="A40" s="17" t="s">
        <v>54</v>
      </c>
      <c r="B40" s="11"/>
      <c r="C40" s="11"/>
      <c r="D40" s="11"/>
      <c r="E40" s="11"/>
      <c r="F40" s="11"/>
      <c r="G40" s="11"/>
      <c r="H40" s="11">
        <v>6930</v>
      </c>
      <c r="I40" s="11"/>
      <c r="J40" s="11"/>
      <c r="K40" s="11"/>
      <c r="L40" s="11"/>
      <c r="M40" s="11"/>
      <c r="N40" s="7">
        <f t="shared" si="1"/>
        <v>6930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s="14" customFormat="1" ht="30.75">
      <c r="A41" s="17" t="s">
        <v>96</v>
      </c>
      <c r="B41" s="11"/>
      <c r="C41" s="11"/>
      <c r="D41" s="11"/>
      <c r="E41" s="11"/>
      <c r="F41" s="11"/>
      <c r="G41" s="11">
        <v>4900</v>
      </c>
      <c r="H41" s="11"/>
      <c r="I41" s="11"/>
      <c r="J41" s="11"/>
      <c r="K41" s="11"/>
      <c r="L41" s="11"/>
      <c r="M41" s="11"/>
      <c r="N41" s="7">
        <f t="shared" si="1"/>
        <v>4900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s="14" customFormat="1" ht="15.75">
      <c r="A42" s="17" t="s">
        <v>112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>
        <v>33000</v>
      </c>
      <c r="N42" s="7">
        <f t="shared" si="1"/>
        <v>33000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s="14" customFormat="1" ht="15.75">
      <c r="A43" s="17" t="s">
        <v>111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>
        <v>2600</v>
      </c>
      <c r="M43" s="11"/>
      <c r="N43" s="7">
        <f t="shared" si="1"/>
        <v>2600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s="14" customFormat="1" ht="30.75">
      <c r="A44" s="17" t="s">
        <v>110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>
        <v>16248</v>
      </c>
      <c r="N44" s="7">
        <f t="shared" si="1"/>
        <v>16248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s="14" customFormat="1" ht="15.75">
      <c r="A45" s="17" t="s">
        <v>101</v>
      </c>
      <c r="B45" s="11"/>
      <c r="C45" s="11"/>
      <c r="D45" s="11"/>
      <c r="E45" s="11"/>
      <c r="F45" s="11"/>
      <c r="G45" s="11"/>
      <c r="H45" s="11"/>
      <c r="I45" s="11">
        <v>2270</v>
      </c>
      <c r="J45" s="11"/>
      <c r="K45" s="11"/>
      <c r="L45" s="11"/>
      <c r="M45" s="11"/>
      <c r="N45" s="7">
        <f t="shared" si="1"/>
        <v>2270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s="14" customFormat="1" ht="15.75">
      <c r="A46" s="17" t="s">
        <v>44</v>
      </c>
      <c r="B46" s="11"/>
      <c r="C46" s="11"/>
      <c r="D46" s="11"/>
      <c r="E46" s="11"/>
      <c r="F46" s="11">
        <v>1158.46</v>
      </c>
      <c r="G46" s="11"/>
      <c r="H46" s="11"/>
      <c r="I46" s="11"/>
      <c r="J46" s="11"/>
      <c r="K46" s="11"/>
      <c r="L46" s="11"/>
      <c r="M46" s="11"/>
      <c r="N46" s="7">
        <f t="shared" si="1"/>
        <v>1158.46</v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s="14" customFormat="1" ht="15.75">
      <c r="A47" s="17" t="s">
        <v>97</v>
      </c>
      <c r="B47" s="11"/>
      <c r="C47" s="11"/>
      <c r="D47" s="11"/>
      <c r="E47" s="11"/>
      <c r="F47" s="11"/>
      <c r="G47" s="11">
        <v>7259</v>
      </c>
      <c r="H47" s="11"/>
      <c r="I47" s="11"/>
      <c r="J47" s="11"/>
      <c r="K47" s="11"/>
      <c r="L47" s="11"/>
      <c r="M47" s="11"/>
      <c r="N47" s="7">
        <f t="shared" si="1"/>
        <v>7259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s="14" customFormat="1" ht="30.75">
      <c r="A48" s="17" t="s">
        <v>92</v>
      </c>
      <c r="B48" s="11"/>
      <c r="C48" s="11"/>
      <c r="D48" s="11">
        <v>40000</v>
      </c>
      <c r="E48" s="11"/>
      <c r="F48" s="11"/>
      <c r="G48" s="11"/>
      <c r="H48" s="11"/>
      <c r="I48" s="11"/>
      <c r="J48" s="11"/>
      <c r="K48" s="11"/>
      <c r="L48" s="11"/>
      <c r="M48" s="11"/>
      <c r="N48" s="7">
        <f t="shared" si="1"/>
        <v>40000</v>
      </c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s="14" customFormat="1" ht="30.75">
      <c r="A49" s="17" t="s">
        <v>93</v>
      </c>
      <c r="B49" s="11"/>
      <c r="C49" s="11"/>
      <c r="D49" s="11">
        <f>20900+39710</f>
        <v>60610</v>
      </c>
      <c r="E49" s="11">
        <v>45980</v>
      </c>
      <c r="F49" s="11">
        <v>38720</v>
      </c>
      <c r="G49" s="11">
        <v>33440</v>
      </c>
      <c r="H49" s="11">
        <v>21120</v>
      </c>
      <c r="I49" s="11">
        <v>38720</v>
      </c>
      <c r="J49" s="11">
        <v>38720</v>
      </c>
      <c r="K49" s="11">
        <v>38720</v>
      </c>
      <c r="L49" s="11">
        <v>36960</v>
      </c>
      <c r="M49" s="11">
        <f>17380+38720</f>
        <v>56100</v>
      </c>
      <c r="N49" s="7">
        <f>B49+C49+D49+E49+F49+G49+H49+I49+J49+K49+L49+M49</f>
        <v>409090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s="14" customFormat="1" ht="30.75">
      <c r="A50" s="17" t="s">
        <v>106</v>
      </c>
      <c r="B50" s="11"/>
      <c r="C50" s="11"/>
      <c r="D50" s="11"/>
      <c r="E50" s="11"/>
      <c r="F50" s="11"/>
      <c r="G50" s="11"/>
      <c r="H50" s="11"/>
      <c r="I50" s="11"/>
      <c r="J50" s="11"/>
      <c r="K50" s="11">
        <v>117594.45</v>
      </c>
      <c r="L50" s="11"/>
      <c r="M50" s="11"/>
      <c r="N50" s="7">
        <f t="shared" si="1"/>
        <v>117594.45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s="14" customFormat="1" ht="45.75">
      <c r="A51" s="17" t="s">
        <v>94</v>
      </c>
      <c r="B51" s="11"/>
      <c r="C51" s="11"/>
      <c r="D51" s="11"/>
      <c r="E51" s="11"/>
      <c r="F51" s="11"/>
      <c r="G51" s="11">
        <v>82200</v>
      </c>
      <c r="H51" s="11"/>
      <c r="I51" s="11"/>
      <c r="J51" s="11"/>
      <c r="K51" s="11"/>
      <c r="L51" s="11"/>
      <c r="M51" s="11"/>
      <c r="N51" s="7">
        <f t="shared" si="1"/>
        <v>82200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s="14" customFormat="1" ht="15.75">
      <c r="A52" s="17" t="s">
        <v>108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>
        <v>1500</v>
      </c>
      <c r="N52" s="7">
        <f t="shared" si="1"/>
        <v>1500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s="14" customFormat="1" ht="15.75">
      <c r="A53" s="17" t="s">
        <v>91</v>
      </c>
      <c r="B53" s="11"/>
      <c r="C53" s="11"/>
      <c r="D53" s="11"/>
      <c r="E53" s="11"/>
      <c r="F53" s="11"/>
      <c r="G53" s="11">
        <v>9281.46</v>
      </c>
      <c r="H53" s="11"/>
      <c r="I53" s="11"/>
      <c r="J53" s="11"/>
      <c r="K53" s="11"/>
      <c r="L53" s="11"/>
      <c r="M53" s="11"/>
      <c r="N53" s="7">
        <f t="shared" si="1"/>
        <v>9281.46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s="14" customFormat="1" ht="45.75">
      <c r="A54" s="17" t="s">
        <v>102</v>
      </c>
      <c r="B54" s="11"/>
      <c r="C54" s="11"/>
      <c r="D54" s="11"/>
      <c r="E54" s="11"/>
      <c r="F54" s="11"/>
      <c r="G54" s="11"/>
      <c r="H54" s="11"/>
      <c r="I54" s="11">
        <v>46904.6</v>
      </c>
      <c r="J54" s="11"/>
      <c r="K54" s="11">
        <v>140713.81</v>
      </c>
      <c r="L54" s="11"/>
      <c r="M54" s="11"/>
      <c r="N54" s="7">
        <f t="shared" si="1"/>
        <v>187618.41</v>
      </c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s="14" customFormat="1" ht="45.75">
      <c r="A55" s="17" t="s">
        <v>95</v>
      </c>
      <c r="B55" s="11"/>
      <c r="C55" s="11"/>
      <c r="D55" s="11"/>
      <c r="E55" s="11"/>
      <c r="F55" s="11"/>
      <c r="G55" s="11">
        <v>7400</v>
      </c>
      <c r="H55" s="11"/>
      <c r="I55" s="11"/>
      <c r="J55" s="11"/>
      <c r="K55" s="11"/>
      <c r="L55" s="11"/>
      <c r="M55" s="11"/>
      <c r="N55" s="7">
        <f t="shared" si="1"/>
        <v>7400</v>
      </c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s="14" customFormat="1" ht="30.75">
      <c r="A56" s="17" t="s">
        <v>103</v>
      </c>
      <c r="B56" s="11"/>
      <c r="C56" s="11"/>
      <c r="D56" s="11"/>
      <c r="E56" s="11"/>
      <c r="F56" s="11"/>
      <c r="G56" s="11"/>
      <c r="H56" s="11"/>
      <c r="I56" s="11"/>
      <c r="J56" s="11">
        <v>6750</v>
      </c>
      <c r="K56" s="11"/>
      <c r="L56" s="11"/>
      <c r="M56" s="11">
        <v>7100</v>
      </c>
      <c r="N56" s="7">
        <f t="shared" si="1"/>
        <v>13850</v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s="14" customFormat="1" ht="15.75">
      <c r="A57" s="17" t="s">
        <v>105</v>
      </c>
      <c r="B57" s="11"/>
      <c r="C57" s="11"/>
      <c r="D57" s="11"/>
      <c r="E57" s="11"/>
      <c r="F57" s="11"/>
      <c r="G57" s="11"/>
      <c r="H57" s="11"/>
      <c r="I57" s="11"/>
      <c r="J57" s="11"/>
      <c r="K57" s="11">
        <v>69960</v>
      </c>
      <c r="L57" s="11"/>
      <c r="M57" s="11"/>
      <c r="N57" s="7">
        <f t="shared" si="1"/>
        <v>69960</v>
      </c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s="14" customFormat="1" ht="15.75">
      <c r="A58" s="17" t="s">
        <v>46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>
        <v>3900</v>
      </c>
      <c r="N58" s="7">
        <f t="shared" si="1"/>
        <v>3900</v>
      </c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s="9" customFormat="1" ht="15.75">
      <c r="A59" s="6">
        <v>262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>
        <f t="shared" si="1"/>
        <v>0</v>
      </c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s="9" customFormat="1" ht="15.75">
      <c r="A60" s="13" t="s">
        <v>6</v>
      </c>
      <c r="B60" s="7">
        <f>B61+B62+B63</f>
        <v>0</v>
      </c>
      <c r="C60" s="7">
        <f>C61</f>
        <v>0</v>
      </c>
      <c r="D60" s="7">
        <f>D61+D62</f>
        <v>1363</v>
      </c>
      <c r="E60" s="7">
        <f>E61+E64</f>
        <v>3000</v>
      </c>
      <c r="F60" s="7">
        <f>F62+F64</f>
        <v>0</v>
      </c>
      <c r="G60" s="7">
        <f>G62+G64+G61</f>
        <v>0</v>
      </c>
      <c r="H60" s="7">
        <f>H64+H61</f>
        <v>0</v>
      </c>
      <c r="I60" s="7">
        <f>I64+I62</f>
        <v>0</v>
      </c>
      <c r="J60" s="7">
        <f>J61+0</f>
        <v>4088</v>
      </c>
      <c r="K60" s="7">
        <f>K61</f>
        <v>0</v>
      </c>
      <c r="L60" s="7">
        <v>0</v>
      </c>
      <c r="M60" s="7">
        <f>M61+M63+M64</f>
        <v>4088</v>
      </c>
      <c r="N60" s="7">
        <f>B60+C60+D60+E60+F60+G60+H60+I60+J60+K60+L60+M60</f>
        <v>12539</v>
      </c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s="14" customFormat="1" ht="15.75">
      <c r="A61" s="17" t="s">
        <v>15</v>
      </c>
      <c r="B61" s="11"/>
      <c r="C61" s="11"/>
      <c r="D61" s="11">
        <v>1363</v>
      </c>
      <c r="E61" s="11"/>
      <c r="F61" s="11"/>
      <c r="G61" s="11"/>
      <c r="H61" s="11"/>
      <c r="I61" s="11"/>
      <c r="J61" s="11">
        <v>4088</v>
      </c>
      <c r="K61" s="11"/>
      <c r="L61" s="11"/>
      <c r="M61" s="11">
        <v>4088</v>
      </c>
      <c r="N61" s="7">
        <f t="shared" si="1"/>
        <v>9539</v>
      </c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s="14" customFormat="1" ht="15.75">
      <c r="A62" s="17" t="s">
        <v>19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7">
        <f t="shared" si="1"/>
        <v>0</v>
      </c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s="14" customFormat="1" ht="15.75">
      <c r="A63" s="17" t="s">
        <v>70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7">
        <f t="shared" si="1"/>
        <v>0</v>
      </c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s="14" customFormat="1" ht="15.75">
      <c r="A64" s="17" t="s">
        <v>83</v>
      </c>
      <c r="B64" s="11"/>
      <c r="C64" s="11"/>
      <c r="D64" s="11"/>
      <c r="E64" s="11">
        <v>3000</v>
      </c>
      <c r="F64" s="11"/>
      <c r="G64" s="11"/>
      <c r="H64" s="11"/>
      <c r="I64" s="11"/>
      <c r="J64" s="11"/>
      <c r="K64" s="11"/>
      <c r="L64" s="11"/>
      <c r="M64" s="11"/>
      <c r="N64" s="7">
        <f t="shared" si="1"/>
        <v>3000</v>
      </c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s="9" customFormat="1" ht="15.75">
      <c r="A65" s="6" t="s">
        <v>4</v>
      </c>
      <c r="B65" s="7"/>
      <c r="C65" s="7"/>
      <c r="D65" s="7">
        <f>D66+D76</f>
        <v>32418</v>
      </c>
      <c r="E65" s="7"/>
      <c r="F65" s="7"/>
      <c r="G65" s="7">
        <f>G66+G68+G67</f>
        <v>0</v>
      </c>
      <c r="H65" s="7">
        <f>H66+H69</f>
        <v>10845</v>
      </c>
      <c r="I65" s="7"/>
      <c r="J65" s="7">
        <f>J66+J67+J68+J69+J70+J71+J72+J73+J74+J75+J76</f>
        <v>26385</v>
      </c>
      <c r="K65" s="7">
        <f>K68+K76</f>
        <v>11225</v>
      </c>
      <c r="L65" s="7">
        <v>0</v>
      </c>
      <c r="M65" s="7">
        <f>M66+M67+M68+M71+M72+M73+M74+M75+M76</f>
        <v>384150</v>
      </c>
      <c r="N65" s="7">
        <f>B65+C65+D65+E65+F65+G65+H65+I65+J65+K65+L65+M65</f>
        <v>465023</v>
      </c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s="14" customFormat="1" ht="15.75">
      <c r="A66" s="10" t="s">
        <v>89</v>
      </c>
      <c r="B66" s="11"/>
      <c r="C66" s="11"/>
      <c r="D66" s="11">
        <v>32418</v>
      </c>
      <c r="E66" s="11"/>
      <c r="F66" s="11"/>
      <c r="G66" s="11"/>
      <c r="H66" s="11"/>
      <c r="I66" s="11"/>
      <c r="J66" s="11"/>
      <c r="K66" s="11"/>
      <c r="L66" s="11"/>
      <c r="M66" s="11">
        <v>43000</v>
      </c>
      <c r="N66" s="7">
        <f t="shared" si="1"/>
        <v>75418</v>
      </c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s="14" customFormat="1" ht="15.75">
      <c r="A67" s="10" t="s">
        <v>113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>
        <v>15810</v>
      </c>
      <c r="N67" s="7">
        <f t="shared" si="1"/>
        <v>15810</v>
      </c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s="14" customFormat="1" ht="15.75">
      <c r="A68" s="10" t="s">
        <v>114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>
        <v>8400</v>
      </c>
      <c r="N68" s="7">
        <f t="shared" si="1"/>
        <v>8400</v>
      </c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s="14" customFormat="1" ht="15.75">
      <c r="A69" s="10" t="s">
        <v>98</v>
      </c>
      <c r="B69" s="11"/>
      <c r="C69" s="11"/>
      <c r="D69" s="11"/>
      <c r="E69" s="11"/>
      <c r="F69" s="11"/>
      <c r="G69" s="11"/>
      <c r="H69" s="11">
        <f>6468+4377</f>
        <v>10845</v>
      </c>
      <c r="I69" s="11"/>
      <c r="J69" s="11"/>
      <c r="K69" s="11"/>
      <c r="L69" s="11"/>
      <c r="M69" s="11"/>
      <c r="N69" s="7">
        <f t="shared" si="1"/>
        <v>10845</v>
      </c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s="14" customFormat="1" ht="35.25" customHeight="1">
      <c r="A70" s="10" t="s">
        <v>104</v>
      </c>
      <c r="B70" s="11"/>
      <c r="C70" s="11"/>
      <c r="D70" s="11"/>
      <c r="E70" s="11"/>
      <c r="F70" s="11"/>
      <c r="G70" s="11"/>
      <c r="H70" s="11"/>
      <c r="I70" s="11"/>
      <c r="J70" s="11">
        <v>26385</v>
      </c>
      <c r="K70" s="11"/>
      <c r="L70" s="11"/>
      <c r="M70" s="11"/>
      <c r="N70" s="7">
        <f t="shared" si="1"/>
        <v>26385</v>
      </c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s="14" customFormat="1" ht="15.75">
      <c r="A71" s="10" t="s">
        <v>115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>
        <v>22160</v>
      </c>
      <c r="N71" s="7">
        <f>M71</f>
        <v>22160</v>
      </c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s="14" customFormat="1" ht="15.75">
      <c r="A72" s="10" t="s">
        <v>117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>
        <v>14420</v>
      </c>
      <c r="N72" s="7">
        <f>M72</f>
        <v>14420</v>
      </c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s="14" customFormat="1" ht="15.75">
      <c r="A73" s="10" t="s">
        <v>118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>
        <v>24580</v>
      </c>
      <c r="N73" s="7">
        <f>M73</f>
        <v>24580</v>
      </c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s="14" customFormat="1" ht="15.75">
      <c r="A74" s="10" t="s">
        <v>119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>
        <v>196080</v>
      </c>
      <c r="N74" s="7">
        <f>M74</f>
        <v>196080</v>
      </c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s="14" customFormat="1" ht="15.75">
      <c r="A75" s="10" t="s">
        <v>120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>
        <v>45200</v>
      </c>
      <c r="N75" s="7">
        <f>M75</f>
        <v>45200</v>
      </c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s="14" customFormat="1" ht="15.75">
      <c r="A76" s="10" t="s">
        <v>61</v>
      </c>
      <c r="B76" s="11"/>
      <c r="C76" s="11"/>
      <c r="D76" s="11"/>
      <c r="E76" s="11"/>
      <c r="F76" s="11"/>
      <c r="G76" s="11"/>
      <c r="H76" s="11"/>
      <c r="I76" s="11"/>
      <c r="J76" s="11"/>
      <c r="K76" s="11">
        <v>11225</v>
      </c>
      <c r="L76" s="11"/>
      <c r="M76" s="11">
        <v>14500</v>
      </c>
      <c r="N76" s="7">
        <f t="shared" si="1"/>
        <v>25725</v>
      </c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s="9" customFormat="1" ht="15.75">
      <c r="A77" s="13" t="s">
        <v>2</v>
      </c>
      <c r="B77" s="7">
        <f>B78+B87</f>
        <v>0</v>
      </c>
      <c r="C77" s="7">
        <f>C78+C79</f>
        <v>51751.78</v>
      </c>
      <c r="D77" s="7">
        <f>D78+D80</f>
        <v>132095.01</v>
      </c>
      <c r="E77" s="7">
        <f>E78+E80+E79+E87</f>
        <v>165077.5</v>
      </c>
      <c r="F77" s="7">
        <f>F78+F80+F83+F79+F87+F81</f>
        <v>131063.64</v>
      </c>
      <c r="G77" s="7">
        <f>G78+G80+G79+G87+G81+G83</f>
        <v>179922.45</v>
      </c>
      <c r="H77" s="7">
        <f>H78+H80+H79+H87+H81+H83+H82</f>
        <v>239709.34</v>
      </c>
      <c r="I77" s="7">
        <f>I78+I80+I79+I87+I81+I83+I82</f>
        <v>130880.82</v>
      </c>
      <c r="J77" s="7">
        <f>J78+J80+J79+J87+J81+J84+J83</f>
        <v>63005.05</v>
      </c>
      <c r="K77" s="7">
        <f>K78+K80+K83+K79+K87+K81</f>
        <v>186295.6</v>
      </c>
      <c r="L77" s="7">
        <f>L78+L80+L79+L87+L81+L83</f>
        <v>154993.15</v>
      </c>
      <c r="M77" s="7">
        <f>M78+M80+M79+M87+M81+M83+M84+M85+M86</f>
        <v>917022.1499999999</v>
      </c>
      <c r="N77" s="7">
        <f>B77+C77+D77+E77+F77+G77+H77+I77+J77+K77+L77+M77</f>
        <v>2351816.49</v>
      </c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ht="15.75">
      <c r="A78" s="10" t="s">
        <v>21</v>
      </c>
      <c r="B78" s="11"/>
      <c r="C78" s="22">
        <v>51751.78</v>
      </c>
      <c r="D78" s="22">
        <v>132095.01</v>
      </c>
      <c r="E78" s="22">
        <v>165077.5</v>
      </c>
      <c r="F78" s="22">
        <v>131063.64</v>
      </c>
      <c r="G78" s="22">
        <v>169191.45</v>
      </c>
      <c r="H78" s="22">
        <v>196469.34</v>
      </c>
      <c r="I78" s="22">
        <v>128425.82</v>
      </c>
      <c r="J78" s="22">
        <v>55442.05</v>
      </c>
      <c r="K78" s="22">
        <v>177005.6</v>
      </c>
      <c r="L78" s="22">
        <v>143085.15</v>
      </c>
      <c r="M78" s="22">
        <v>652149.95</v>
      </c>
      <c r="N78" s="7">
        <f t="shared" si="1"/>
        <v>2001757.29</v>
      </c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ht="15.75">
      <c r="A79" s="21" t="s">
        <v>79</v>
      </c>
      <c r="B79" s="11"/>
      <c r="C79" s="22"/>
      <c r="D79" s="22"/>
      <c r="E79" s="22"/>
      <c r="F79" s="22"/>
      <c r="G79" s="22"/>
      <c r="H79" s="22"/>
      <c r="I79" s="22"/>
      <c r="J79" s="22">
        <v>6213</v>
      </c>
      <c r="K79" s="22"/>
      <c r="L79" s="22"/>
      <c r="M79" s="22">
        <f>80018+96423</f>
        <v>176441</v>
      </c>
      <c r="N79" s="7">
        <f t="shared" si="1"/>
        <v>182654</v>
      </c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ht="15.75">
      <c r="A80" s="21" t="s">
        <v>41</v>
      </c>
      <c r="B80" s="11"/>
      <c r="C80" s="22"/>
      <c r="D80" s="22"/>
      <c r="E80" s="22"/>
      <c r="F80" s="22"/>
      <c r="G80" s="22">
        <v>4791</v>
      </c>
      <c r="H80" s="22"/>
      <c r="I80" s="22">
        <v>1495</v>
      </c>
      <c r="J80" s="22">
        <v>1350</v>
      </c>
      <c r="K80" s="22">
        <f>5760+3530</f>
        <v>9290</v>
      </c>
      <c r="L80" s="22">
        <v>11908</v>
      </c>
      <c r="M80" s="22">
        <f>11537.2+3150+716</f>
        <v>15403.2</v>
      </c>
      <c r="N80" s="7">
        <f t="shared" si="1"/>
        <v>44237.2</v>
      </c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ht="15.75">
      <c r="A81" s="21" t="s">
        <v>50</v>
      </c>
      <c r="B81" s="11"/>
      <c r="C81" s="22"/>
      <c r="D81" s="22"/>
      <c r="E81" s="22"/>
      <c r="F81" s="22"/>
      <c r="G81" s="22">
        <v>5000</v>
      </c>
      <c r="H81" s="22"/>
      <c r="I81" s="22"/>
      <c r="J81" s="22"/>
      <c r="K81" s="22"/>
      <c r="L81" s="22"/>
      <c r="M81" s="22"/>
      <c r="N81" s="7">
        <f t="shared" si="1"/>
        <v>5000</v>
      </c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ht="15.75">
      <c r="A82" s="21" t="s">
        <v>99</v>
      </c>
      <c r="B82" s="11"/>
      <c r="C82" s="22"/>
      <c r="D82" s="22"/>
      <c r="E82" s="22"/>
      <c r="F82" s="22"/>
      <c r="G82" s="22"/>
      <c r="H82" s="22">
        <v>42300</v>
      </c>
      <c r="I82" s="22"/>
      <c r="J82" s="22"/>
      <c r="K82" s="22"/>
      <c r="L82" s="22"/>
      <c r="M82" s="22"/>
      <c r="N82" s="7">
        <f t="shared" si="1"/>
        <v>42300</v>
      </c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ht="15.75">
      <c r="A83" s="21" t="s">
        <v>73</v>
      </c>
      <c r="B83" s="11"/>
      <c r="C83" s="22"/>
      <c r="D83" s="22"/>
      <c r="E83" s="22"/>
      <c r="F83" s="22"/>
      <c r="G83" s="22">
        <v>940</v>
      </c>
      <c r="H83" s="22">
        <v>940</v>
      </c>
      <c r="I83" s="22">
        <v>960</v>
      </c>
      <c r="J83" s="22"/>
      <c r="K83" s="22"/>
      <c r="L83" s="22"/>
      <c r="M83" s="22"/>
      <c r="N83" s="7">
        <f t="shared" si="1"/>
        <v>2840</v>
      </c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ht="15.75">
      <c r="A84" s="21" t="s">
        <v>60</v>
      </c>
      <c r="B84" s="11"/>
      <c r="C84" s="22"/>
      <c r="D84" s="22"/>
      <c r="E84" s="22"/>
      <c r="F84" s="22"/>
      <c r="G84" s="22"/>
      <c r="H84" s="22"/>
      <c r="I84" s="22"/>
      <c r="J84" s="22"/>
      <c r="K84" s="22"/>
      <c r="L84" s="22">
        <v>4600</v>
      </c>
      <c r="M84" s="22">
        <v>10996</v>
      </c>
      <c r="N84" s="7">
        <f t="shared" si="1"/>
        <v>15596</v>
      </c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ht="15.75">
      <c r="A85" s="21" t="s">
        <v>121</v>
      </c>
      <c r="B85" s="1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>
        <v>52500</v>
      </c>
      <c r="N85" s="7">
        <f t="shared" si="1"/>
        <v>52500</v>
      </c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ht="15.75">
      <c r="A86" s="21" t="s">
        <v>116</v>
      </c>
      <c r="B86" s="1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>
        <v>4557</v>
      </c>
      <c r="N86" s="7">
        <f t="shared" si="1"/>
        <v>4557</v>
      </c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ht="30.75">
      <c r="A87" s="21" t="s">
        <v>76</v>
      </c>
      <c r="B87" s="1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>
        <v>4975</v>
      </c>
      <c r="N87" s="7">
        <f t="shared" si="1"/>
        <v>4975</v>
      </c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s="9" customFormat="1" ht="34.5" customHeight="1">
      <c r="A88" s="13" t="s">
        <v>3</v>
      </c>
      <c r="B88" s="7">
        <f aca="true" t="shared" si="3" ref="B88:G88">B4+B7+B10+B11+B12+B20+B28+B59+B60+B65+B77+B13</f>
        <v>88396.38</v>
      </c>
      <c r="C88" s="7">
        <f t="shared" si="3"/>
        <v>526156.5299999999</v>
      </c>
      <c r="D88" s="7">
        <f t="shared" si="3"/>
        <v>758848.6</v>
      </c>
      <c r="E88" s="7">
        <f t="shared" si="3"/>
        <v>883335.2599999999</v>
      </c>
      <c r="F88" s="7">
        <f t="shared" si="3"/>
        <v>479692.07999999996</v>
      </c>
      <c r="G88" s="7">
        <f t="shared" si="3"/>
        <v>682306.05</v>
      </c>
      <c r="H88" s="7">
        <f>H4+H7+H10+H11+H12+H20+H28+H59+H60+H65+H77+H13</f>
        <v>694055.2699999999</v>
      </c>
      <c r="I88" s="7">
        <f>I4+I7+I10+I11+I12+I20+I28+I59+I60+I65+I77+I13</f>
        <v>622133.08</v>
      </c>
      <c r="J88" s="7">
        <f>J4+J7+J10+J11+J12+J20+J28+J59+J60+J65+J77+J13</f>
        <v>488633.51</v>
      </c>
      <c r="K88" s="7">
        <f>K4+K7+K10+K11+K12+K20+K28+K59+K60+K65+K77+K13</f>
        <v>965671.88</v>
      </c>
      <c r="L88" s="7">
        <f>L4+L7+L10+L11+L12+L20+L28+L59+L60+L65+L77+L13</f>
        <v>636291.6199999999</v>
      </c>
      <c r="M88" s="7">
        <f>M4+M7+M10+M11+M12+M20+M28+M59+M60+M65+M77+M13</f>
        <v>2358421.06</v>
      </c>
      <c r="N88" s="7">
        <f>B88+C88+D88+E88+F88+G88+H88+I88+J88+K88+L88+M88</f>
        <v>9183941.319999998</v>
      </c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90" spans="1:14" ht="15">
      <c r="A90" s="15" t="s">
        <v>27</v>
      </c>
      <c r="N90" s="16" t="s">
        <v>28</v>
      </c>
    </row>
    <row r="92" spans="1:14" ht="15">
      <c r="A92" s="15" t="s">
        <v>16</v>
      </c>
      <c r="N92" s="16" t="s">
        <v>35</v>
      </c>
    </row>
    <row r="94" ht="15">
      <c r="N94" s="18"/>
    </row>
    <row r="110" ht="15">
      <c r="C110" s="23"/>
    </row>
  </sheetData>
  <sheetProtection/>
  <mergeCells count="2">
    <mergeCell ref="A1:N1"/>
    <mergeCell ref="A2:N2"/>
  </mergeCells>
  <printOptions/>
  <pageMargins left="0.5905511811023623" right="0" top="0.1968503937007874" bottom="0.1968503937007874" header="0.1968503937007874" footer="0.1968503937007874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zoomScalePageLayoutView="0" workbookViewId="0" topLeftCell="A10">
      <selection activeCell="N50" sqref="N50"/>
    </sheetView>
  </sheetViews>
  <sheetFormatPr defaultColWidth="9.140625" defaultRowHeight="12.75"/>
  <cols>
    <col min="1" max="1" width="26.8515625" style="15" customWidth="1"/>
    <col min="2" max="2" width="15.57421875" style="15" customWidth="1"/>
    <col min="3" max="3" width="15.421875" style="15" customWidth="1"/>
    <col min="4" max="4" width="15.57421875" style="15" customWidth="1"/>
    <col min="5" max="5" width="15.7109375" style="15" customWidth="1"/>
    <col min="6" max="6" width="15.28125" style="15" customWidth="1"/>
    <col min="7" max="7" width="15.421875" style="15" customWidth="1"/>
    <col min="8" max="8" width="15.57421875" style="15" customWidth="1"/>
    <col min="9" max="9" width="14.00390625" style="15" customWidth="1"/>
    <col min="10" max="13" width="16.421875" style="15" customWidth="1"/>
    <col min="14" max="14" width="18.8515625" style="16" customWidth="1"/>
    <col min="15" max="16384" width="9.140625" style="1" customWidth="1"/>
  </cols>
  <sheetData>
    <row r="1" spans="1:14" ht="48" customHeight="1">
      <c r="A1" s="25" t="s">
        <v>86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4" customHeight="1">
      <c r="A2" s="26" t="str">
        <f>субвенции!A3</f>
        <v>МБДОУ детский сад "Алёнушка" с.Куйбышево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25" s="5" customFormat="1" ht="60" customHeight="1">
      <c r="A3" s="2"/>
      <c r="B3" s="2" t="s">
        <v>11</v>
      </c>
      <c r="C3" s="2" t="s">
        <v>29</v>
      </c>
      <c r="D3" s="2" t="s">
        <v>36</v>
      </c>
      <c r="E3" s="2" t="s">
        <v>42</v>
      </c>
      <c r="F3" s="2" t="s">
        <v>43</v>
      </c>
      <c r="G3" s="2" t="s">
        <v>47</v>
      </c>
      <c r="H3" s="2" t="s">
        <v>51</v>
      </c>
      <c r="I3" s="2" t="s">
        <v>53</v>
      </c>
      <c r="J3" s="2" t="s">
        <v>56</v>
      </c>
      <c r="K3" s="2" t="s">
        <v>58</v>
      </c>
      <c r="L3" s="2" t="s">
        <v>59</v>
      </c>
      <c r="M3" s="2" t="s">
        <v>62</v>
      </c>
      <c r="N3" s="3" t="s">
        <v>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15.75">
      <c r="A4" s="6" t="s">
        <v>7</v>
      </c>
      <c r="B4" s="7">
        <f>B5+B6</f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B4</f>
        <v>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15.75">
      <c r="A5" s="10" t="s">
        <v>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7">
        <f aca="true" t="shared" si="0" ref="N5:N38">B5</f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5.75">
      <c r="A6" s="10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7">
        <f t="shared" si="0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5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 t="shared" si="0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7">
        <f t="shared" si="0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7">
        <f t="shared" si="0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ht="15.75">
      <c r="A10" s="6">
        <v>213</v>
      </c>
      <c r="B10" s="7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>
        <f t="shared" si="0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5.75">
      <c r="A11" s="6">
        <v>221</v>
      </c>
      <c r="B11" s="7">
        <v>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 t="shared" si="0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21" customHeight="1">
      <c r="A12" s="6">
        <v>222</v>
      </c>
      <c r="B12" s="7">
        <v>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>
        <f t="shared" si="0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46.5" customHeight="1">
      <c r="A13" s="6" t="s">
        <v>12</v>
      </c>
      <c r="B13" s="7">
        <f>B14+B15+B16</f>
        <v>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>
        <f t="shared" si="0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s="8" customFormat="1" ht="21" customHeight="1">
      <c r="A14" s="17" t="s">
        <v>13</v>
      </c>
      <c r="B14" s="12">
        <v>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7">
        <f t="shared" si="0"/>
        <v>0</v>
      </c>
    </row>
    <row r="15" spans="1:14" s="8" customFormat="1" ht="21" customHeight="1">
      <c r="A15" s="17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7">
        <f t="shared" si="0"/>
        <v>0</v>
      </c>
    </row>
    <row r="16" spans="1:14" s="8" customFormat="1" ht="21" customHeight="1">
      <c r="A16" s="1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7">
        <f t="shared" si="0"/>
        <v>0</v>
      </c>
    </row>
    <row r="17" spans="1:25" s="9" customFormat="1" ht="27" customHeight="1">
      <c r="A17" s="13" t="s">
        <v>0</v>
      </c>
      <c r="B17" s="7">
        <f>B18+B19+B20+B21+B22+B24</f>
        <v>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>
        <f t="shared" si="0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.75">
      <c r="A18" s="17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7">
        <f t="shared" si="0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30.75">
      <c r="A19" s="17" t="s">
        <v>22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">
        <f t="shared" si="0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3.5" customHeight="1">
      <c r="A20" s="17" t="s">
        <v>23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">
        <f t="shared" si="0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.75">
      <c r="A21" s="17" t="s">
        <v>24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7">
        <f t="shared" si="0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.75">
      <c r="A22" s="17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">
        <f t="shared" si="0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.75">
      <c r="A23" s="1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7">
        <f t="shared" si="0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.75">
      <c r="A24" s="1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7">
        <f t="shared" si="0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9" customFormat="1" ht="15.75">
      <c r="A25" s="13" t="s">
        <v>1</v>
      </c>
      <c r="B25" s="7">
        <f>B26+B27+B28</f>
        <v>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f t="shared" si="0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14" customFormat="1" ht="15.75">
      <c r="A26" s="17" t="s">
        <v>17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7">
        <f t="shared" si="0"/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14" customFormat="1" ht="15.75">
      <c r="A27" s="17" t="s">
        <v>25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7">
        <f t="shared" si="0"/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4" customFormat="1" ht="15.75">
      <c r="A28" s="1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7">
        <f t="shared" si="0"/>
        <v>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15.75">
      <c r="A29" s="6">
        <v>262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f t="shared" si="0"/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15.75">
      <c r="A30" s="13" t="s">
        <v>6</v>
      </c>
      <c r="B30" s="7">
        <f>B31+B32+B33</f>
        <v>0</v>
      </c>
      <c r="C30" s="7">
        <f>C32</f>
        <v>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>
        <f>B30+C30</f>
        <v>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14" customFormat="1" ht="15.75">
      <c r="A31" s="17" t="s">
        <v>15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7">
        <f>B31+C31</f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14" customFormat="1" ht="15.75">
      <c r="A32" s="17" t="s">
        <v>55</v>
      </c>
      <c r="B32" s="11"/>
      <c r="C32" s="11"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7">
        <f>B32+C32</f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14" customFormat="1" ht="15.75">
      <c r="A33" s="1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7">
        <f t="shared" si="0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14" customFormat="1" ht="15.75">
      <c r="A34" s="17" t="s">
        <v>20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7">
        <f t="shared" si="0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15.75">
      <c r="A35" s="6" t="s">
        <v>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>
        <f t="shared" si="0"/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14" customFormat="1" ht="15.7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7">
        <f t="shared" si="0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14" customFormat="1" ht="15.7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7">
        <f t="shared" si="0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14" customFormat="1" ht="15.7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7">
        <f t="shared" si="0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15.75">
      <c r="A39" s="13" t="s">
        <v>2</v>
      </c>
      <c r="B39" s="7">
        <f>B40+B41</f>
        <v>10004.37</v>
      </c>
      <c r="C39" s="7">
        <f aca="true" t="shared" si="1" ref="C39:H39">C40</f>
        <v>0</v>
      </c>
      <c r="D39" s="7">
        <f t="shared" si="1"/>
        <v>5144.94</v>
      </c>
      <c r="E39" s="7">
        <f t="shared" si="1"/>
        <v>66112.1</v>
      </c>
      <c r="F39" s="7">
        <f t="shared" si="1"/>
        <v>31743.06</v>
      </c>
      <c r="G39" s="7">
        <f t="shared" si="1"/>
        <v>71520.4</v>
      </c>
      <c r="H39" s="7">
        <f t="shared" si="1"/>
        <v>68502.43</v>
      </c>
      <c r="I39" s="7">
        <f>I40</f>
        <v>163696.64</v>
      </c>
      <c r="J39" s="7">
        <f>J40</f>
        <v>111062.04</v>
      </c>
      <c r="K39" s="7">
        <f>K40</f>
        <v>69583.2</v>
      </c>
      <c r="L39" s="7">
        <f>L40</f>
        <v>42648.35</v>
      </c>
      <c r="M39" s="7">
        <f>M40</f>
        <v>78654.4</v>
      </c>
      <c r="N39" s="7">
        <f>B39+C39+D39+E39+G39+F39+H39+I39+J39+K39+L39+M39</f>
        <v>718671.9299999999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.75">
      <c r="A40" s="10" t="s">
        <v>21</v>
      </c>
      <c r="B40" s="11">
        <v>10004.37</v>
      </c>
      <c r="C40" s="11"/>
      <c r="D40" s="11">
        <v>5144.94</v>
      </c>
      <c r="E40" s="11">
        <v>66112.1</v>
      </c>
      <c r="F40" s="11">
        <v>31743.06</v>
      </c>
      <c r="G40" s="11">
        <v>71520.4</v>
      </c>
      <c r="H40" s="11">
        <v>68502.43</v>
      </c>
      <c r="I40" s="11">
        <v>163696.64</v>
      </c>
      <c r="J40" s="11">
        <v>111062.04</v>
      </c>
      <c r="K40" s="11">
        <v>69583.2</v>
      </c>
      <c r="L40" s="11">
        <f>51578.35-8930</f>
        <v>42648.35</v>
      </c>
      <c r="M40" s="11">
        <f>86634.18-7409.78-570</f>
        <v>78654.4</v>
      </c>
      <c r="N40" s="7">
        <f>B40+C40+D40+E40+G40+F40+H40+I40+J40+K40+L40+M40</f>
        <v>718671.9299999999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.75">
      <c r="A41" s="10"/>
      <c r="B41" s="11"/>
      <c r="C41" s="11"/>
      <c r="D41" s="11"/>
      <c r="E41" s="11"/>
      <c r="F41" s="11" t="s">
        <v>90</v>
      </c>
      <c r="G41" s="11"/>
      <c r="H41" s="11"/>
      <c r="I41" s="11"/>
      <c r="J41" s="11"/>
      <c r="K41" s="11"/>
      <c r="L41" s="11"/>
      <c r="M41" s="11"/>
      <c r="N41" s="24"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s="9" customFormat="1" ht="34.5" customHeight="1">
      <c r="A42" s="13" t="s">
        <v>3</v>
      </c>
      <c r="B42" s="7">
        <f>B4+B7+B10+B11+B12+B17+B25+B29+B30+B35+B39+B13</f>
        <v>10004.37</v>
      </c>
      <c r="C42" s="7">
        <f>C39+C30</f>
        <v>0</v>
      </c>
      <c r="D42" s="7">
        <f aca="true" t="shared" si="2" ref="D42:I42">D39</f>
        <v>5144.94</v>
      </c>
      <c r="E42" s="7">
        <f t="shared" si="2"/>
        <v>66112.1</v>
      </c>
      <c r="F42" s="7">
        <f t="shared" si="2"/>
        <v>31743.06</v>
      </c>
      <c r="G42" s="7">
        <f t="shared" si="2"/>
        <v>71520.4</v>
      </c>
      <c r="H42" s="7">
        <f t="shared" si="2"/>
        <v>68502.43</v>
      </c>
      <c r="I42" s="7">
        <f t="shared" si="2"/>
        <v>163696.64</v>
      </c>
      <c r="J42" s="7">
        <f>J39</f>
        <v>111062.04</v>
      </c>
      <c r="K42" s="7">
        <f>K39</f>
        <v>69583.2</v>
      </c>
      <c r="L42" s="7">
        <f>L39</f>
        <v>42648.35</v>
      </c>
      <c r="M42" s="7">
        <f>M39</f>
        <v>78654.4</v>
      </c>
      <c r="N42" s="7">
        <f>B42+C42+D42+E42+G42+F42+H42+I42+J42+K42+L42+M42</f>
        <v>718671.9299999999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4" spans="1:14" ht="15">
      <c r="A44" s="15" t="s">
        <v>27</v>
      </c>
      <c r="N44" s="16" t="s">
        <v>28</v>
      </c>
    </row>
    <row r="46" spans="1:14" ht="15">
      <c r="A46" s="15" t="s">
        <v>16</v>
      </c>
      <c r="N46" s="16" t="s">
        <v>35</v>
      </c>
    </row>
    <row r="48" ht="15">
      <c r="N48" s="18"/>
    </row>
  </sheetData>
  <sheetProtection/>
  <mergeCells count="2">
    <mergeCell ref="A1:N1"/>
    <mergeCell ref="A2:N2"/>
  </mergeCells>
  <printOptions/>
  <pageMargins left="0.5905511811023623" right="0" top="0.1968503937007874" bottom="0.1968503937007874" header="0.1968503937007874" footer="0.1968503937007874"/>
  <pageSetup fitToHeight="1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zoomScalePageLayoutView="0" workbookViewId="0" topLeftCell="A22">
      <selection activeCell="M43" sqref="M43"/>
    </sheetView>
  </sheetViews>
  <sheetFormatPr defaultColWidth="9.140625" defaultRowHeight="12.75"/>
  <cols>
    <col min="1" max="1" width="26.8515625" style="15" customWidth="1"/>
    <col min="2" max="2" width="14.7109375" style="15" customWidth="1"/>
    <col min="3" max="3" width="14.140625" style="15" customWidth="1"/>
    <col min="4" max="4" width="11.421875" style="15" customWidth="1"/>
    <col min="5" max="5" width="14.421875" style="15" customWidth="1"/>
    <col min="6" max="6" width="17.00390625" style="15" customWidth="1"/>
    <col min="7" max="7" width="14.57421875" style="15" customWidth="1"/>
    <col min="8" max="8" width="15.57421875" style="15" customWidth="1"/>
    <col min="9" max="9" width="15.421875" style="15" customWidth="1"/>
    <col min="10" max="13" width="16.28125" style="15" customWidth="1"/>
    <col min="14" max="14" width="17.7109375" style="16" customWidth="1"/>
    <col min="15" max="16384" width="9.140625" style="1" customWidth="1"/>
  </cols>
  <sheetData>
    <row r="1" spans="1:14" ht="48" customHeight="1">
      <c r="A1" s="25" t="s">
        <v>87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4" customHeight="1">
      <c r="A2" s="26" t="str">
        <f>субвенции!A3</f>
        <v>МБДОУ детский сад "Алёнушка" с.Куйбышево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25" s="5" customFormat="1" ht="60" customHeight="1">
      <c r="A3" s="2"/>
      <c r="B3" s="2" t="s">
        <v>11</v>
      </c>
      <c r="C3" s="2" t="s">
        <v>29</v>
      </c>
      <c r="D3" s="2" t="s">
        <v>36</v>
      </c>
      <c r="E3" s="2" t="s">
        <v>42</v>
      </c>
      <c r="F3" s="2" t="s">
        <v>43</v>
      </c>
      <c r="G3" s="2" t="s">
        <v>47</v>
      </c>
      <c r="H3" s="2" t="s">
        <v>51</v>
      </c>
      <c r="I3" s="2" t="s">
        <v>53</v>
      </c>
      <c r="J3" s="2" t="s">
        <v>56</v>
      </c>
      <c r="K3" s="2" t="s">
        <v>58</v>
      </c>
      <c r="L3" s="2" t="s">
        <v>59</v>
      </c>
      <c r="M3" s="2" t="s">
        <v>62</v>
      </c>
      <c r="N3" s="3" t="s">
        <v>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15.75">
      <c r="A4" s="6" t="s">
        <v>7</v>
      </c>
      <c r="B4" s="7">
        <f>B5+B6</f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B4</f>
        <v>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15.75">
      <c r="A5" s="10" t="s">
        <v>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7">
        <f aca="true" t="shared" si="0" ref="N5:N24">B5</f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5.75">
      <c r="A6" s="10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7">
        <f t="shared" si="0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5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 t="shared" si="0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7">
        <f t="shared" si="0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7">
        <f t="shared" si="0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ht="15.75">
      <c r="A10" s="6">
        <v>213</v>
      </c>
      <c r="B10" s="7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>
        <f t="shared" si="0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5.75">
      <c r="A11" s="6">
        <v>221</v>
      </c>
      <c r="B11" s="7">
        <v>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 t="shared" si="0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21" customHeight="1">
      <c r="A12" s="6">
        <v>222</v>
      </c>
      <c r="B12" s="7">
        <v>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>
        <f t="shared" si="0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46.5" customHeight="1">
      <c r="A13" s="6" t="s">
        <v>12</v>
      </c>
      <c r="B13" s="7">
        <f>B14+B15+B16</f>
        <v>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>
        <f t="shared" si="0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s="8" customFormat="1" ht="21" customHeight="1">
      <c r="A14" s="17" t="s">
        <v>13</v>
      </c>
      <c r="B14" s="12">
        <v>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7">
        <f t="shared" si="0"/>
        <v>0</v>
      </c>
    </row>
    <row r="15" spans="1:14" s="8" customFormat="1" ht="21" customHeight="1">
      <c r="A15" s="17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7">
        <f t="shared" si="0"/>
        <v>0</v>
      </c>
    </row>
    <row r="16" spans="1:14" s="8" customFormat="1" ht="21" customHeight="1">
      <c r="A16" s="1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7">
        <f t="shared" si="0"/>
        <v>0</v>
      </c>
    </row>
    <row r="17" spans="1:25" s="9" customFormat="1" ht="27" customHeight="1">
      <c r="A17" s="13" t="s">
        <v>0</v>
      </c>
      <c r="B17" s="7">
        <f>B18+B19+B20+B21+B22+B24</f>
        <v>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>
        <f t="shared" si="0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.75">
      <c r="A18" s="17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7">
        <f t="shared" si="0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30.75">
      <c r="A19" s="17" t="s">
        <v>22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">
        <f t="shared" si="0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3.5" customHeight="1">
      <c r="A20" s="17" t="s">
        <v>23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">
        <f t="shared" si="0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.75">
      <c r="A21" s="17" t="s">
        <v>24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7">
        <f t="shared" si="0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.75">
      <c r="A22" s="17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">
        <f t="shared" si="0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.75">
      <c r="A23" s="1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7">
        <f t="shared" si="0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.75">
      <c r="A24" s="1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7">
        <f t="shared" si="0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9" customFormat="1" ht="15.75">
      <c r="A25" s="13" t="s">
        <v>1</v>
      </c>
      <c r="B25" s="7">
        <f>B26+B27+B28</f>
        <v>0</v>
      </c>
      <c r="C25" s="7"/>
      <c r="D25" s="7">
        <f>D27</f>
        <v>293.04</v>
      </c>
      <c r="E25" s="7"/>
      <c r="F25" s="7">
        <v>0</v>
      </c>
      <c r="G25" s="7"/>
      <c r="H25" s="7"/>
      <c r="I25" s="7"/>
      <c r="J25" s="7"/>
      <c r="K25" s="7"/>
      <c r="L25" s="7"/>
      <c r="M25" s="7"/>
      <c r="N25" s="7">
        <f>D25+B25+F25</f>
        <v>293.04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14" customFormat="1" ht="15.75">
      <c r="A26" s="17" t="s">
        <v>46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7">
        <f>D26+B26+F26</f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14" customFormat="1" ht="30.75">
      <c r="A27" s="17" t="s">
        <v>88</v>
      </c>
      <c r="B27" s="11"/>
      <c r="C27" s="11"/>
      <c r="D27" s="11">
        <v>293.04</v>
      </c>
      <c r="E27" s="11"/>
      <c r="F27" s="11"/>
      <c r="G27" s="11"/>
      <c r="H27" s="11"/>
      <c r="I27" s="11"/>
      <c r="J27" s="11"/>
      <c r="K27" s="11"/>
      <c r="L27" s="11"/>
      <c r="M27" s="11"/>
      <c r="N27" s="7">
        <f>D27+B27+F27</f>
        <v>293.04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4" customFormat="1" ht="15.75">
      <c r="A28" s="1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7">
        <f>B28+F28</f>
        <v>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15.75">
      <c r="A29" s="6">
        <v>262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f>B29+F29</f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15.75">
      <c r="A30" s="13" t="s">
        <v>6</v>
      </c>
      <c r="B30" s="7">
        <f>B31+B32+B33</f>
        <v>0</v>
      </c>
      <c r="C30" s="7"/>
      <c r="D30" s="7">
        <f>D32+D34</f>
        <v>999.17</v>
      </c>
      <c r="E30" s="7">
        <f>E32+E34</f>
        <v>500.06</v>
      </c>
      <c r="F30" s="7">
        <f>F34</f>
        <v>0.07</v>
      </c>
      <c r="G30" s="7">
        <f>G34+G32</f>
        <v>503.84</v>
      </c>
      <c r="H30" s="7">
        <f aca="true" t="shared" si="1" ref="H30:M30">H32+H34</f>
        <v>0</v>
      </c>
      <c r="I30" s="7">
        <f t="shared" si="1"/>
        <v>0</v>
      </c>
      <c r="J30" s="7">
        <f t="shared" si="1"/>
        <v>1998</v>
      </c>
      <c r="K30" s="7">
        <f t="shared" si="1"/>
        <v>0</v>
      </c>
      <c r="L30" s="7">
        <f t="shared" si="1"/>
        <v>0</v>
      </c>
      <c r="M30" s="7">
        <f t="shared" si="1"/>
        <v>1997</v>
      </c>
      <c r="N30" s="7">
        <f>B30+F30+I30+M30+D30+G30+H30+J30+K30+L30+E30</f>
        <v>5998.14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14" customFormat="1" ht="15.75">
      <c r="A31" s="17" t="s">
        <v>15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7">
        <f>B31+F31+I31+M31+D31+G31+H31</f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14" customFormat="1" ht="15.75">
      <c r="A32" s="17" t="s">
        <v>55</v>
      </c>
      <c r="B32" s="11"/>
      <c r="C32" s="11"/>
      <c r="D32" s="11">
        <f>849+150</f>
        <v>999</v>
      </c>
      <c r="E32" s="11">
        <f>425+75</f>
        <v>500</v>
      </c>
      <c r="F32" s="11"/>
      <c r="G32" s="11">
        <f>425+75</f>
        <v>500</v>
      </c>
      <c r="H32" s="11"/>
      <c r="I32" s="11"/>
      <c r="J32" s="11">
        <v>1998</v>
      </c>
      <c r="K32" s="11"/>
      <c r="L32" s="11"/>
      <c r="M32" s="11">
        <v>1997</v>
      </c>
      <c r="N32" s="7">
        <f>B32+E32+F32+I32+M32+D32+G32+H32+J32+K32+L32</f>
        <v>5994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14" customFormat="1" ht="15.75">
      <c r="A33" s="1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7">
        <f>B33+F33+I33+M33+D33+G33+H33</f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14" customFormat="1" ht="15.75">
      <c r="A34" s="17" t="s">
        <v>20</v>
      </c>
      <c r="B34" s="11"/>
      <c r="C34" s="11"/>
      <c r="D34" s="11">
        <f>0.17</f>
        <v>0.17</v>
      </c>
      <c r="E34" s="11">
        <v>0.06</v>
      </c>
      <c r="F34" s="11">
        <v>0.07</v>
      </c>
      <c r="G34" s="11">
        <f>0.16+3.68</f>
        <v>3.8400000000000003</v>
      </c>
      <c r="H34" s="11"/>
      <c r="I34" s="11"/>
      <c r="J34" s="11"/>
      <c r="K34" s="11"/>
      <c r="L34" s="11"/>
      <c r="M34" s="11"/>
      <c r="N34" s="7">
        <f>B34+F34+E34+I34+M34+D34+G34+H34+J34+K34+L34</f>
        <v>4.140000000000001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15.75">
      <c r="A35" s="6" t="s">
        <v>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>
        <f>B35+F35+I35+M35+D35</f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14" customFormat="1" ht="15.7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7">
        <f>B36+F36+I36+M36+D36</f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14" customFormat="1" ht="15.7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7">
        <f>B37+F37+I37+M37+D37</f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14" customFormat="1" ht="15.7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7">
        <f>B38+F38+I38+M38+D38</f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15.75">
      <c r="A39" s="13" t="s">
        <v>2</v>
      </c>
      <c r="B39" s="7">
        <f>B40+B42</f>
        <v>0</v>
      </c>
      <c r="C39" s="7">
        <f>C40</f>
        <v>0</v>
      </c>
      <c r="D39" s="7">
        <f>D42</f>
        <v>0</v>
      </c>
      <c r="E39" s="7">
        <f>E40</f>
        <v>1100</v>
      </c>
      <c r="F39" s="7">
        <f>F40</f>
        <v>0</v>
      </c>
      <c r="G39" s="7">
        <f>G42</f>
        <v>570</v>
      </c>
      <c r="H39" s="7"/>
      <c r="I39" s="7"/>
      <c r="J39" s="7">
        <f>J40+J42</f>
        <v>1000</v>
      </c>
      <c r="K39" s="7">
        <f>K41</f>
        <v>4670</v>
      </c>
      <c r="L39" s="7">
        <f>L42</f>
        <v>8930</v>
      </c>
      <c r="M39" s="7">
        <f>M42</f>
        <v>7409.78</v>
      </c>
      <c r="N39" s="7">
        <f>L39+E39+J39+K39+B39+F39+I39+M39+D39</f>
        <v>23109.78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30.75">
      <c r="A40" s="10" t="s">
        <v>45</v>
      </c>
      <c r="B40" s="11"/>
      <c r="C40" s="11"/>
      <c r="D40" s="11"/>
      <c r="E40" s="11">
        <v>1100</v>
      </c>
      <c r="F40" s="11"/>
      <c r="G40" s="11"/>
      <c r="H40" s="11"/>
      <c r="I40" s="11"/>
      <c r="J40" s="11"/>
      <c r="K40" s="11"/>
      <c r="L40" s="11"/>
      <c r="M40" s="11"/>
      <c r="N40" s="7">
        <f>B40+F40+I40+E40+M40+D40+J40+K40+L40+G40</f>
        <v>1100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.75">
      <c r="A41" s="10" t="s">
        <v>107</v>
      </c>
      <c r="B41" s="11"/>
      <c r="C41" s="11"/>
      <c r="D41" s="11"/>
      <c r="E41" s="11"/>
      <c r="F41" s="11"/>
      <c r="G41" s="11"/>
      <c r="H41" s="11"/>
      <c r="I41" s="11"/>
      <c r="J41" s="11"/>
      <c r="K41" s="11">
        <v>4670</v>
      </c>
      <c r="L41" s="11"/>
      <c r="M41" s="11"/>
      <c r="N41" s="7">
        <f>B41+F41+I41+M41+D41+J41+K41+L41+G41</f>
        <v>4670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5.75">
      <c r="A42" s="10" t="s">
        <v>41</v>
      </c>
      <c r="B42" s="11"/>
      <c r="C42" s="11"/>
      <c r="D42" s="11"/>
      <c r="E42" s="11"/>
      <c r="F42" s="11"/>
      <c r="G42" s="11">
        <v>570</v>
      </c>
      <c r="H42" s="11"/>
      <c r="I42" s="11"/>
      <c r="J42" s="11">
        <v>1000</v>
      </c>
      <c r="K42" s="11"/>
      <c r="L42" s="11">
        <v>8930</v>
      </c>
      <c r="M42" s="11">
        <f>1859.78+5550</f>
        <v>7409.78</v>
      </c>
      <c r="N42" s="7">
        <f>B42+F42+I42+M42+D42+J42+K42+L42+G42</f>
        <v>17909.78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s="9" customFormat="1" ht="34.5" customHeight="1">
      <c r="A43" s="13" t="s">
        <v>3</v>
      </c>
      <c r="B43" s="7">
        <f>B4+B7+B10+B11+B12+B17+B25+B29+B30+B35+B39+B13</f>
        <v>0</v>
      </c>
      <c r="C43" s="7">
        <f>C39</f>
        <v>0</v>
      </c>
      <c r="D43" s="7">
        <f>D39+D25+D30</f>
        <v>1292.21</v>
      </c>
      <c r="E43" s="7">
        <f>E39+E30</f>
        <v>1600.06</v>
      </c>
      <c r="F43" s="7">
        <f>F39+F25+F30</f>
        <v>0.07</v>
      </c>
      <c r="G43" s="7">
        <f>G39+G25+G30</f>
        <v>1073.84</v>
      </c>
      <c r="H43" s="7">
        <f aca="true" t="shared" si="2" ref="H43:M43">H39+H25+H30</f>
        <v>0</v>
      </c>
      <c r="I43" s="7">
        <f t="shared" si="2"/>
        <v>0</v>
      </c>
      <c r="J43" s="7">
        <f t="shared" si="2"/>
        <v>2998</v>
      </c>
      <c r="K43" s="7">
        <f t="shared" si="2"/>
        <v>4670</v>
      </c>
      <c r="L43" s="7">
        <f t="shared" si="2"/>
        <v>8930</v>
      </c>
      <c r="M43" s="7">
        <f t="shared" si="2"/>
        <v>9406.779999999999</v>
      </c>
      <c r="N43" s="7">
        <f>B43+F43+I43+M43+D43+E43+J43+K43+L43+C43+H43+G43</f>
        <v>29970.959999999995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5" spans="1:14" ht="15">
      <c r="A45" s="15" t="s">
        <v>27</v>
      </c>
      <c r="N45" s="16" t="s">
        <v>28</v>
      </c>
    </row>
    <row r="47" spans="1:14" ht="15">
      <c r="A47" s="15" t="s">
        <v>16</v>
      </c>
      <c r="N47" s="16" t="s">
        <v>35</v>
      </c>
    </row>
    <row r="49" ht="15">
      <c r="N49" s="18"/>
    </row>
    <row r="52" ht="15">
      <c r="N52" s="16">
        <f>29970.96-N43</f>
        <v>0</v>
      </c>
    </row>
  </sheetData>
  <sheetProtection/>
  <mergeCells count="2">
    <mergeCell ref="A1:N1"/>
    <mergeCell ref="A2:N2"/>
  </mergeCells>
  <printOptions/>
  <pageMargins left="0.5905511811023623" right="0" top="0.1968503937007874" bottom="0.1968503937007874" header="0.1968503937007874" footer="0.1968503937007874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Аленушка</cp:lastModifiedBy>
  <cp:lastPrinted>2022-01-10T10:48:55Z</cp:lastPrinted>
  <dcterms:created xsi:type="dcterms:W3CDTF">1996-10-08T23:32:33Z</dcterms:created>
  <dcterms:modified xsi:type="dcterms:W3CDTF">2022-03-10T12:30:08Z</dcterms:modified>
  <cp:category/>
  <cp:version/>
  <cp:contentType/>
  <cp:contentStatus/>
</cp:coreProperties>
</file>